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330\Desktop\"/>
    </mc:Choice>
  </mc:AlternateContent>
  <xr:revisionPtr revIDLastSave="0" documentId="13_ncr:1_{99639D5F-C592-4A5C-A3D0-CEC435095505}" xr6:coauthVersionLast="36" xr6:coauthVersionMax="36" xr10:uidLastSave="{00000000-0000-0000-0000-000000000000}"/>
  <bookViews>
    <workbookView xWindow="0" yWindow="0" windowWidth="28800" windowHeight="11385" xr2:uid="{00000000-000D-0000-FFFF-FFFF00000000}"/>
  </bookViews>
  <sheets>
    <sheet name="最初に" sheetId="4" r:id="rId1"/>
    <sheet name="①" sheetId="6" r:id="rId2"/>
    <sheet name="Sheet4" sheetId="7" state="hidden" r:id="rId3"/>
    <sheet name="②" sheetId="3" r:id="rId4"/>
    <sheet name="③" sheetId="5" r:id="rId5"/>
    <sheet name="④" sheetId="1" r:id="rId6"/>
    <sheet name="⑤" sheetId="2"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6" l="1"/>
  <c r="K23" i="6"/>
  <c r="K21" i="6"/>
  <c r="D32" i="1"/>
  <c r="K19" i="6"/>
  <c r="K14" i="6"/>
  <c r="D54" i="1"/>
  <c r="K10" i="6"/>
  <c r="D50" i="1"/>
  <c r="G12" i="6"/>
  <c r="B5" i="6"/>
  <c r="E5" i="6" s="1"/>
  <c r="C35" i="6"/>
  <c r="B35" i="6"/>
  <c r="C34" i="6"/>
  <c r="C6" i="6"/>
  <c r="B6" i="6"/>
  <c r="E6" i="6" s="1"/>
  <c r="C5" i="6"/>
  <c r="B5" i="5"/>
  <c r="D3" i="1"/>
  <c r="C18" i="5"/>
  <c r="B18" i="5"/>
  <c r="C17" i="5"/>
  <c r="C6" i="5"/>
  <c r="B6" i="5"/>
  <c r="E6" i="5" s="1"/>
  <c r="C5" i="5"/>
  <c r="B28" i="6" l="1"/>
  <c r="B11" i="5"/>
  <c r="E5" i="5"/>
  <c r="D58" i="1"/>
  <c r="G70" i="1" s="1"/>
  <c r="B31" i="6" l="1"/>
  <c r="B34" i="6" s="1"/>
  <c r="B14" i="5"/>
  <c r="B20" i="5" s="1"/>
  <c r="G72" i="1"/>
  <c r="B37" i="6" l="1"/>
  <c r="B17" i="5"/>
  <c r="E44" i="1"/>
  <c r="E42" i="1"/>
  <c r="E66" i="1"/>
  <c r="E50" i="1" l="1"/>
  <c r="N79" i="1"/>
  <c r="D42" i="1" l="1"/>
  <c r="D40" i="1"/>
  <c r="D9" i="1"/>
  <c r="D7" i="1"/>
  <c r="G8" i="1" l="1"/>
  <c r="D16" i="1"/>
  <c r="C18" i="3" l="1"/>
  <c r="B18" i="3"/>
  <c r="C17" i="3"/>
  <c r="B5" i="3" l="1"/>
  <c r="B11" i="3" l="1"/>
  <c r="B14" i="3" s="1"/>
  <c r="C6" i="3"/>
  <c r="B6" i="3"/>
  <c r="E6" i="3" s="1"/>
  <c r="E5" i="3"/>
  <c r="C5" i="3"/>
  <c r="G74" i="1"/>
  <c r="E64" i="1"/>
  <c r="E62" i="1"/>
  <c r="E58" i="1"/>
  <c r="E56" i="1"/>
  <c r="D56" i="1"/>
  <c r="E54" i="1"/>
  <c r="E52" i="1"/>
  <c r="E48" i="1"/>
  <c r="D48" i="1"/>
  <c r="E46" i="1"/>
  <c r="D46" i="1"/>
  <c r="D44" i="1"/>
  <c r="E40" i="1"/>
  <c r="E38" i="1"/>
  <c r="H34" i="1" s="1"/>
  <c r="D38" i="1"/>
  <c r="G34" i="1" s="1"/>
  <c r="E36" i="1"/>
  <c r="D36" i="1"/>
  <c r="E34" i="1"/>
  <c r="D34" i="1"/>
  <c r="E32" i="1"/>
  <c r="E30" i="1"/>
  <c r="D30" i="1"/>
  <c r="E26" i="1"/>
  <c r="D26" i="1"/>
  <c r="D24" i="1"/>
  <c r="E22" i="1" s="1"/>
  <c r="H60" i="1" l="1"/>
  <c r="H32" i="1"/>
  <c r="H30" i="1"/>
  <c r="E28" i="1"/>
  <c r="G64" i="1"/>
  <c r="B17" i="3"/>
  <c r="B26" i="3"/>
  <c r="D28" i="1"/>
  <c r="G32" i="1"/>
  <c r="G30" i="1"/>
  <c r="G82" i="1" l="1"/>
  <c r="D20" i="1"/>
  <c r="H36" i="1"/>
  <c r="G36" i="1"/>
  <c r="G66" i="1" l="1"/>
  <c r="G68" i="1" s="1"/>
  <c r="G78" i="1" s="1"/>
  <c r="H62" i="1"/>
  <c r="H78" i="1" l="1"/>
  <c r="G76" i="1"/>
  <c r="I76" i="1" s="1"/>
  <c r="H66" i="1"/>
  <c r="I78" i="1" l="1"/>
  <c r="I84" i="1" s="1"/>
  <c r="H76" i="1"/>
  <c r="H84" i="1" s="1"/>
  <c r="H68" i="1"/>
  <c r="H70" i="1" s="1"/>
  <c r="H72" i="1" s="1"/>
  <c r="B2" i="2" l="1"/>
  <c r="G84" i="1"/>
  <c r="G86" i="1" l="1"/>
</calcChain>
</file>

<file path=xl/sharedStrings.xml><?xml version="1.0" encoding="utf-8"?>
<sst xmlns="http://schemas.openxmlformats.org/spreadsheetml/2006/main" count="192" uniqueCount="124">
  <si>
    <t>給与収入</t>
    <rPh sb="0" eb="2">
      <t>キュウヨ</t>
    </rPh>
    <rPh sb="2" eb="4">
      <t>シュウニュウ</t>
    </rPh>
    <phoneticPr fontId="1"/>
  </si>
  <si>
    <t>→</t>
    <phoneticPr fontId="1"/>
  </si>
  <si>
    <t>給与所得</t>
    <rPh sb="0" eb="2">
      <t>キュウヨ</t>
    </rPh>
    <rPh sb="2" eb="4">
      <t>ショトク</t>
    </rPh>
    <phoneticPr fontId="1"/>
  </si>
  <si>
    <t>年金所得</t>
    <rPh sb="0" eb="2">
      <t>ネンキン</t>
    </rPh>
    <rPh sb="2" eb="4">
      <t>ショトク</t>
    </rPh>
    <phoneticPr fontId="1"/>
  </si>
  <si>
    <t>年金収入(65歳未満)</t>
    <rPh sb="0" eb="2">
      <t>ネンキン</t>
    </rPh>
    <rPh sb="2" eb="4">
      <t>シュウニュウ</t>
    </rPh>
    <rPh sb="7" eb="8">
      <t>サイ</t>
    </rPh>
    <rPh sb="8" eb="10">
      <t>ミマン</t>
    </rPh>
    <phoneticPr fontId="1"/>
  </si>
  <si>
    <t>その他所得</t>
    <rPh sb="2" eb="3">
      <t>タ</t>
    </rPh>
    <rPh sb="3" eb="5">
      <t>ショトク</t>
    </rPh>
    <phoneticPr fontId="1"/>
  </si>
  <si>
    <t>→</t>
    <phoneticPr fontId="1"/>
  </si>
  <si>
    <t>総所得</t>
    <rPh sb="0" eb="3">
      <t>ソウショトク</t>
    </rPh>
    <phoneticPr fontId="1"/>
  </si>
  <si>
    <t>所得計算</t>
    <rPh sb="0" eb="2">
      <t>ショトク</t>
    </rPh>
    <rPh sb="2" eb="4">
      <t>ケイサン</t>
    </rPh>
    <phoneticPr fontId="1"/>
  </si>
  <si>
    <t>所得控除</t>
    <rPh sb="0" eb="2">
      <t>ショトク</t>
    </rPh>
    <rPh sb="2" eb="4">
      <t>コウジョ</t>
    </rPh>
    <phoneticPr fontId="1"/>
  </si>
  <si>
    <t>基礎控除</t>
    <rPh sb="0" eb="2">
      <t>キソ</t>
    </rPh>
    <rPh sb="2" eb="4">
      <t>コウジョ</t>
    </rPh>
    <phoneticPr fontId="1"/>
  </si>
  <si>
    <t>社会保険料支払額</t>
    <rPh sb="0" eb="2">
      <t>シャカイ</t>
    </rPh>
    <rPh sb="2" eb="5">
      <t>ホケンリョウ</t>
    </rPh>
    <rPh sb="5" eb="7">
      <t>シハライ</t>
    </rPh>
    <rPh sb="7" eb="8">
      <t>ガク</t>
    </rPh>
    <phoneticPr fontId="1"/>
  </si>
  <si>
    <t>社会保険料控除</t>
    <rPh sb="0" eb="2">
      <t>シャカイ</t>
    </rPh>
    <rPh sb="2" eb="5">
      <t>ホケンリョウ</t>
    </rPh>
    <rPh sb="5" eb="7">
      <t>コウジョ</t>
    </rPh>
    <phoneticPr fontId="1"/>
  </si>
  <si>
    <t>支払医療費</t>
    <rPh sb="0" eb="2">
      <t>シハライ</t>
    </rPh>
    <rPh sb="2" eb="5">
      <t>イリョウヒ</t>
    </rPh>
    <phoneticPr fontId="1"/>
  </si>
  <si>
    <t>うち保険等補填金</t>
    <rPh sb="2" eb="4">
      <t>ホケン</t>
    </rPh>
    <rPh sb="4" eb="5">
      <t>トウ</t>
    </rPh>
    <rPh sb="5" eb="7">
      <t>ホテン</t>
    </rPh>
    <rPh sb="7" eb="8">
      <t>キン</t>
    </rPh>
    <phoneticPr fontId="1"/>
  </si>
  <si>
    <t>→</t>
    <phoneticPr fontId="1"/>
  </si>
  <si>
    <t>医療費控除</t>
    <rPh sb="0" eb="3">
      <t>イリョウヒ</t>
    </rPh>
    <rPh sb="3" eb="5">
      <t>コウジョ</t>
    </rPh>
    <phoneticPr fontId="1"/>
  </si>
  <si>
    <t>地震保険料支払額</t>
    <rPh sb="0" eb="2">
      <t>ジシン</t>
    </rPh>
    <rPh sb="2" eb="5">
      <t>ホケンリョウ</t>
    </rPh>
    <rPh sb="5" eb="7">
      <t>シハライ</t>
    </rPh>
    <rPh sb="7" eb="8">
      <t>ガク</t>
    </rPh>
    <phoneticPr fontId="1"/>
  </si>
  <si>
    <t>長期損害保険料支払額</t>
    <rPh sb="0" eb="2">
      <t>チョウキ</t>
    </rPh>
    <rPh sb="2" eb="4">
      <t>ソンガイ</t>
    </rPh>
    <rPh sb="4" eb="7">
      <t>ホケンリョウ</t>
    </rPh>
    <rPh sb="7" eb="9">
      <t>シハライ</t>
    </rPh>
    <rPh sb="9" eb="10">
      <t>ガク</t>
    </rPh>
    <phoneticPr fontId="1"/>
  </si>
  <si>
    <t>地震保険料控除②</t>
    <rPh sb="0" eb="2">
      <t>ジシン</t>
    </rPh>
    <rPh sb="2" eb="5">
      <t>ホケンリョウ</t>
    </rPh>
    <rPh sb="5" eb="7">
      <t>コウジョ</t>
    </rPh>
    <phoneticPr fontId="1"/>
  </si>
  <si>
    <t>地震保険料控除①</t>
    <rPh sb="0" eb="2">
      <t>ジシン</t>
    </rPh>
    <rPh sb="2" eb="5">
      <t>ホケンリョウ</t>
    </rPh>
    <rPh sb="5" eb="7">
      <t>コウジョ</t>
    </rPh>
    <phoneticPr fontId="1"/>
  </si>
  <si>
    <t>地震保険料控除 計</t>
    <rPh sb="0" eb="2">
      <t>ジシン</t>
    </rPh>
    <rPh sb="2" eb="5">
      <t>ホケンリョウ</t>
    </rPh>
    <rPh sb="5" eb="7">
      <t>コウジョ</t>
    </rPh>
    <rPh sb="8" eb="9">
      <t>ケイ</t>
    </rPh>
    <phoneticPr fontId="1"/>
  </si>
  <si>
    <t>→</t>
    <phoneticPr fontId="1"/>
  </si>
  <si>
    <t>生命保険料控除①</t>
    <rPh sb="0" eb="2">
      <t>セイメイ</t>
    </rPh>
    <rPh sb="2" eb="4">
      <t>ホケン</t>
    </rPh>
    <rPh sb="4" eb="5">
      <t>リョウ</t>
    </rPh>
    <rPh sb="5" eb="7">
      <t>コウジョ</t>
    </rPh>
    <phoneticPr fontId="1"/>
  </si>
  <si>
    <t>生命保険料控除②</t>
    <rPh sb="0" eb="2">
      <t>セイメイ</t>
    </rPh>
    <rPh sb="2" eb="4">
      <t>ホケン</t>
    </rPh>
    <rPh sb="4" eb="5">
      <t>リョウ</t>
    </rPh>
    <rPh sb="5" eb="7">
      <t>コウジョ</t>
    </rPh>
    <phoneticPr fontId="1"/>
  </si>
  <si>
    <t>生命保険料控除③</t>
    <rPh sb="0" eb="2">
      <t>セイメイ</t>
    </rPh>
    <rPh sb="2" eb="4">
      <t>ホケン</t>
    </rPh>
    <rPh sb="4" eb="5">
      <t>リョウ</t>
    </rPh>
    <rPh sb="5" eb="7">
      <t>コウジョ</t>
    </rPh>
    <phoneticPr fontId="1"/>
  </si>
  <si>
    <t>生命保険料控除 計</t>
    <rPh sb="0" eb="2">
      <t>セイメイ</t>
    </rPh>
    <rPh sb="2" eb="4">
      <t>ホケン</t>
    </rPh>
    <rPh sb="4" eb="5">
      <t>リョウ</t>
    </rPh>
    <rPh sb="5" eb="7">
      <t>コウジョ</t>
    </rPh>
    <rPh sb="8" eb="9">
      <t>ケイ</t>
    </rPh>
    <phoneticPr fontId="1"/>
  </si>
  <si>
    <t>寡婦控除</t>
    <rPh sb="0" eb="2">
      <t>カフ</t>
    </rPh>
    <rPh sb="2" eb="4">
      <t>コウジョ</t>
    </rPh>
    <phoneticPr fontId="1"/>
  </si>
  <si>
    <t>寡夫控除</t>
    <rPh sb="0" eb="2">
      <t>カフ</t>
    </rPh>
    <rPh sb="2" eb="4">
      <t>コウジョ</t>
    </rPh>
    <phoneticPr fontId="1"/>
  </si>
  <si>
    <t>勤労学生（該当なら1）</t>
    <rPh sb="0" eb="2">
      <t>キンロウ</t>
    </rPh>
    <rPh sb="2" eb="4">
      <t>ガクセイ</t>
    </rPh>
    <phoneticPr fontId="1"/>
  </si>
  <si>
    <t>勤労学生控除</t>
    <rPh sb="0" eb="2">
      <t>キンロウ</t>
    </rPh>
    <rPh sb="2" eb="4">
      <t>ガクセイ</t>
    </rPh>
    <rPh sb="4" eb="6">
      <t>コウジョ</t>
    </rPh>
    <phoneticPr fontId="1"/>
  </si>
  <si>
    <t>配偶者（該当者ありは1、70歳以上は2）</t>
    <rPh sb="0" eb="3">
      <t>ハイグウシャ</t>
    </rPh>
    <rPh sb="4" eb="6">
      <t>ガイトウ</t>
    </rPh>
    <rPh sb="6" eb="7">
      <t>シャ</t>
    </rPh>
    <rPh sb="14" eb="15">
      <t>サイ</t>
    </rPh>
    <rPh sb="15" eb="17">
      <t>イジョウ</t>
    </rPh>
    <phoneticPr fontId="1"/>
  </si>
  <si>
    <t>配偶者控除</t>
    <rPh sb="0" eb="3">
      <t>ハイグウシャ</t>
    </rPh>
    <rPh sb="3" eb="5">
      <t>コウジョ</t>
    </rPh>
    <phoneticPr fontId="1"/>
  </si>
  <si>
    <t>配偶者特別控除</t>
    <rPh sb="0" eb="3">
      <t>ハイグウシャ</t>
    </rPh>
    <rPh sb="3" eb="5">
      <t>トクベツ</t>
    </rPh>
    <rPh sb="5" eb="7">
      <t>コウジョ</t>
    </rPh>
    <phoneticPr fontId="1"/>
  </si>
  <si>
    <t>障害者・本人（普通・1 特別・2）</t>
    <rPh sb="0" eb="2">
      <t>ショウガイ</t>
    </rPh>
    <rPh sb="2" eb="3">
      <t>シャ</t>
    </rPh>
    <rPh sb="4" eb="6">
      <t>ホンニン</t>
    </rPh>
    <rPh sb="7" eb="8">
      <t>フ</t>
    </rPh>
    <rPh sb="8" eb="9">
      <t>ツウ</t>
    </rPh>
    <rPh sb="12" eb="14">
      <t>トクベツ</t>
    </rPh>
    <phoneticPr fontId="1"/>
  </si>
  <si>
    <t>人</t>
    <rPh sb="0" eb="1">
      <t>ニン</t>
    </rPh>
    <phoneticPr fontId="1"/>
  </si>
  <si>
    <t>（特定・19歳以上23歳未満）</t>
    <rPh sb="1" eb="3">
      <t>トクテイ</t>
    </rPh>
    <rPh sb="6" eb="9">
      <t>サイイジョウ</t>
    </rPh>
    <rPh sb="11" eb="14">
      <t>サイミマン</t>
    </rPh>
    <phoneticPr fontId="1"/>
  </si>
  <si>
    <t>扶養控除（一般・16歳以上70歳未満、特定に該当する者は除く）</t>
    <rPh sb="0" eb="2">
      <t>フヨウ</t>
    </rPh>
    <rPh sb="2" eb="4">
      <t>コウジョ</t>
    </rPh>
    <rPh sb="5" eb="7">
      <t>イッパン</t>
    </rPh>
    <rPh sb="10" eb="11">
      <t>サイ</t>
    </rPh>
    <rPh sb="11" eb="13">
      <t>イジョウ</t>
    </rPh>
    <rPh sb="15" eb="16">
      <t>サイ</t>
    </rPh>
    <rPh sb="16" eb="18">
      <t>ミマン</t>
    </rPh>
    <rPh sb="19" eb="21">
      <t>トクテイ</t>
    </rPh>
    <rPh sb="22" eb="24">
      <t>ガイトウ</t>
    </rPh>
    <rPh sb="26" eb="27">
      <t>モノ</t>
    </rPh>
    <rPh sb="28" eb="29">
      <t>ノゾ</t>
    </rPh>
    <phoneticPr fontId="1"/>
  </si>
  <si>
    <t>（老人・70歳以上）</t>
    <rPh sb="1" eb="3">
      <t>ロウジン</t>
    </rPh>
    <rPh sb="6" eb="9">
      <t>サイイジョウ</t>
    </rPh>
    <phoneticPr fontId="1"/>
  </si>
  <si>
    <t>（老人のうち、直系尊属かつ同居の者）</t>
    <rPh sb="1" eb="3">
      <t>ロウジン</t>
    </rPh>
    <rPh sb="7" eb="9">
      <t>チョッケイ</t>
    </rPh>
    <rPh sb="9" eb="11">
      <t>ソンゾク</t>
    </rPh>
    <rPh sb="13" eb="15">
      <t>ドウキョ</t>
    </rPh>
    <rPh sb="16" eb="17">
      <t>モノ</t>
    </rPh>
    <phoneticPr fontId="1"/>
  </si>
  <si>
    <t>（年少・16歳未満）</t>
    <rPh sb="1" eb="3">
      <t>ネンショウ</t>
    </rPh>
    <rPh sb="6" eb="9">
      <t>サイミマン</t>
    </rPh>
    <phoneticPr fontId="1"/>
  </si>
  <si>
    <t>（普通障害）</t>
    <rPh sb="1" eb="3">
      <t>フツウ</t>
    </rPh>
    <rPh sb="3" eb="5">
      <t>ショウガイ</t>
    </rPh>
    <phoneticPr fontId="1"/>
  </si>
  <si>
    <t>（特別障害）</t>
    <rPh sb="1" eb="3">
      <t>トクベツ</t>
    </rPh>
    <rPh sb="3" eb="5">
      <t>ショウガイ</t>
    </rPh>
    <phoneticPr fontId="1"/>
  </si>
  <si>
    <t>（特別障害のうち、同居の者）</t>
    <rPh sb="1" eb="3">
      <t>トクベツ</t>
    </rPh>
    <rPh sb="3" eb="5">
      <t>ショウガイ</t>
    </rPh>
    <rPh sb="9" eb="11">
      <t>ドウキョ</t>
    </rPh>
    <rPh sb="12" eb="13">
      <t>モノ</t>
    </rPh>
    <phoneticPr fontId="1"/>
  </si>
  <si>
    <t>扶養控除</t>
    <rPh sb="0" eb="2">
      <t>フヨウ</t>
    </rPh>
    <rPh sb="2" eb="4">
      <t>コウジョ</t>
    </rPh>
    <phoneticPr fontId="1"/>
  </si>
  <si>
    <t>障害者控除（扶養）</t>
    <rPh sb="0" eb="3">
      <t>ショウガイシャ</t>
    </rPh>
    <rPh sb="3" eb="5">
      <t>コウジョ</t>
    </rPh>
    <rPh sb="6" eb="8">
      <t>フヨウ</t>
    </rPh>
    <phoneticPr fontId="1"/>
  </si>
  <si>
    <t>障害者控除（本人）</t>
    <rPh sb="0" eb="3">
      <t>ショウガイシャ</t>
    </rPh>
    <rPh sb="3" eb="5">
      <t>コウジョ</t>
    </rPh>
    <rPh sb="6" eb="8">
      <t>ホンニン</t>
    </rPh>
    <phoneticPr fontId="1"/>
  </si>
  <si>
    <t>扶養人数</t>
    <rPh sb="0" eb="2">
      <t>フヨウ</t>
    </rPh>
    <rPh sb="2" eb="4">
      <t>ニンズウ</t>
    </rPh>
    <phoneticPr fontId="1"/>
  </si>
  <si>
    <t>所得控除計</t>
    <rPh sb="0" eb="2">
      <t>ショトク</t>
    </rPh>
    <rPh sb="2" eb="4">
      <t>コウジョ</t>
    </rPh>
    <rPh sb="4" eb="5">
      <t>ケイ</t>
    </rPh>
    <phoneticPr fontId="1"/>
  </si>
  <si>
    <t>免税点（均等割）</t>
    <rPh sb="0" eb="2">
      <t>メンゼイ</t>
    </rPh>
    <rPh sb="2" eb="3">
      <t>テン</t>
    </rPh>
    <rPh sb="4" eb="7">
      <t>キントウワリ</t>
    </rPh>
    <phoneticPr fontId="1"/>
  </si>
  <si>
    <t>免税点（所得割）</t>
    <rPh sb="0" eb="2">
      <t>メンゼイ</t>
    </rPh>
    <rPh sb="2" eb="3">
      <t>テン</t>
    </rPh>
    <rPh sb="4" eb="6">
      <t>ショトク</t>
    </rPh>
    <rPh sb="6" eb="7">
      <t>ワリ</t>
    </rPh>
    <phoneticPr fontId="1"/>
  </si>
  <si>
    <t>免税点(全額）</t>
    <rPh sb="0" eb="2">
      <t>メンゼイ</t>
    </rPh>
    <rPh sb="2" eb="3">
      <t>テン</t>
    </rPh>
    <rPh sb="4" eb="6">
      <t>ゼンガク</t>
    </rPh>
    <phoneticPr fontId="1"/>
  </si>
  <si>
    <t>標準税額</t>
    <rPh sb="0" eb="2">
      <t>ヒョウジュン</t>
    </rPh>
    <rPh sb="2" eb="4">
      <t>ゼイガク</t>
    </rPh>
    <phoneticPr fontId="1"/>
  </si>
  <si>
    <t>調整控除</t>
    <rPh sb="0" eb="2">
      <t>チョウセイ</t>
    </rPh>
    <rPh sb="2" eb="4">
      <t>コウジョ</t>
    </rPh>
    <phoneticPr fontId="1"/>
  </si>
  <si>
    <t>人的控除</t>
    <rPh sb="0" eb="2">
      <t>ジンテキ</t>
    </rPh>
    <rPh sb="2" eb="4">
      <t>コウジョ</t>
    </rPh>
    <phoneticPr fontId="1"/>
  </si>
  <si>
    <t>配偶者所得（38万を超える場合のみ）</t>
    <rPh sb="0" eb="3">
      <t>ハイグウシャ</t>
    </rPh>
    <rPh sb="3" eb="5">
      <t>ショトク</t>
    </rPh>
    <rPh sb="8" eb="9">
      <t>マン</t>
    </rPh>
    <rPh sb="10" eb="11">
      <t>コ</t>
    </rPh>
    <rPh sb="13" eb="15">
      <t>バアイ</t>
    </rPh>
    <phoneticPr fontId="1"/>
  </si>
  <si>
    <t>人的控除計</t>
    <rPh sb="0" eb="2">
      <t>ジンテキ</t>
    </rPh>
    <rPh sb="2" eb="4">
      <t>コウジョ</t>
    </rPh>
    <rPh sb="4" eb="5">
      <t>ケイ</t>
    </rPh>
    <phoneticPr fontId="1"/>
  </si>
  <si>
    <t>合計課税所得金額</t>
    <rPh sb="0" eb="2">
      <t>ゴウケイ</t>
    </rPh>
    <rPh sb="2" eb="4">
      <t>カゼイ</t>
    </rPh>
    <rPh sb="4" eb="6">
      <t>ショトク</t>
    </rPh>
    <rPh sb="6" eb="8">
      <t>キンガク</t>
    </rPh>
    <phoneticPr fontId="1"/>
  </si>
  <si>
    <t>税額控除</t>
    <rPh sb="0" eb="2">
      <t>ゼイガク</t>
    </rPh>
    <rPh sb="2" eb="4">
      <t>コウジョ</t>
    </rPh>
    <phoneticPr fontId="1"/>
  </si>
  <si>
    <t>所得割額</t>
    <rPh sb="0" eb="2">
      <t>ショトク</t>
    </rPh>
    <rPh sb="2" eb="3">
      <t>ワリ</t>
    </rPh>
    <rPh sb="3" eb="4">
      <t>ガク</t>
    </rPh>
    <phoneticPr fontId="1"/>
  </si>
  <si>
    <t>均等割額</t>
    <rPh sb="0" eb="2">
      <t>キントウ</t>
    </rPh>
    <rPh sb="2" eb="3">
      <t>ワリ</t>
    </rPh>
    <rPh sb="3" eb="4">
      <t>ガク</t>
    </rPh>
    <phoneticPr fontId="1"/>
  </si>
  <si>
    <t>合計税額</t>
    <rPh sb="0" eb="2">
      <t>ゴウケイ</t>
    </rPh>
    <rPh sb="2" eb="4">
      <t>ゼイガク</t>
    </rPh>
    <phoneticPr fontId="1"/>
  </si>
  <si>
    <t>(県税)</t>
    <rPh sb="1" eb="2">
      <t>ケン</t>
    </rPh>
    <rPh sb="2" eb="3">
      <t>ゼイ</t>
    </rPh>
    <phoneticPr fontId="1"/>
  </si>
  <si>
    <t>（町税）</t>
    <rPh sb="1" eb="3">
      <t>チョウゼイ</t>
    </rPh>
    <phoneticPr fontId="1"/>
  </si>
  <si>
    <t>（所得税ベース）</t>
    <rPh sb="1" eb="4">
      <t>ショトクゼイ</t>
    </rPh>
    <phoneticPr fontId="1"/>
  </si>
  <si>
    <t>（所ベース）</t>
    <rPh sb="1" eb="2">
      <t>ショ</t>
    </rPh>
    <phoneticPr fontId="1"/>
  </si>
  <si>
    <t>生・地差額</t>
    <rPh sb="0" eb="1">
      <t>セイ</t>
    </rPh>
    <rPh sb="2" eb="3">
      <t>ジ</t>
    </rPh>
    <rPh sb="3" eb="5">
      <t>サガク</t>
    </rPh>
    <phoneticPr fontId="1"/>
  </si>
  <si>
    <t>（所・税率）</t>
    <rPh sb="1" eb="2">
      <t>ショ</t>
    </rPh>
    <rPh sb="3" eb="5">
      <t>ゼイリツ</t>
    </rPh>
    <phoneticPr fontId="1"/>
  </si>
  <si>
    <t>控除限度額</t>
    <rPh sb="0" eb="2">
      <t>コウジョ</t>
    </rPh>
    <rPh sb="2" eb="4">
      <t>ゲンド</t>
    </rPh>
    <rPh sb="4" eb="5">
      <t>ガク</t>
    </rPh>
    <phoneticPr fontId="1"/>
  </si>
  <si>
    <t>円</t>
    <rPh sb="0" eb="1">
      <t>エン</t>
    </rPh>
    <phoneticPr fontId="1"/>
  </si>
  <si>
    <t>所得税</t>
    <rPh sb="0" eb="3">
      <t>ショトクゼイ</t>
    </rPh>
    <phoneticPr fontId="1"/>
  </si>
  <si>
    <t>給与収入額</t>
    <rPh sb="0" eb="2">
      <t>キュウヨ</t>
    </rPh>
    <rPh sb="2" eb="4">
      <t>シュウニュウ</t>
    </rPh>
    <rPh sb="4" eb="5">
      <t>ガク</t>
    </rPh>
    <phoneticPr fontId="1"/>
  </si>
  <si>
    <t>給与所得額</t>
    <rPh sb="0" eb="2">
      <t>キュウヨ</t>
    </rPh>
    <rPh sb="2" eb="4">
      <t>ショトク</t>
    </rPh>
    <rPh sb="4" eb="5">
      <t>ガク</t>
    </rPh>
    <phoneticPr fontId="1"/>
  </si>
  <si>
    <t>円</t>
    <rPh sb="0" eb="1">
      <t>エン</t>
    </rPh>
    <phoneticPr fontId="1"/>
  </si>
  <si>
    <t>小規模企業共済等掛金</t>
    <rPh sb="0" eb="3">
      <t>ショウキボ</t>
    </rPh>
    <rPh sb="3" eb="5">
      <t>キギョウ</t>
    </rPh>
    <rPh sb="5" eb="7">
      <t>キョウサイ</t>
    </rPh>
    <rPh sb="7" eb="8">
      <t>トウ</t>
    </rPh>
    <rPh sb="8" eb="10">
      <t>カケキン</t>
    </rPh>
    <phoneticPr fontId="1"/>
  </si>
  <si>
    <t>未成年（本人）</t>
    <rPh sb="0" eb="3">
      <t>ミセイネン</t>
    </rPh>
    <rPh sb="4" eb="6">
      <t>ホンニン</t>
    </rPh>
    <phoneticPr fontId="1"/>
  </si>
  <si>
    <t>ひとり親（該当なら1）</t>
    <rPh sb="3" eb="4">
      <t>オヤ</t>
    </rPh>
    <rPh sb="5" eb="7">
      <t>ガイトウ</t>
    </rPh>
    <phoneticPr fontId="1"/>
  </si>
  <si>
    <t>寡婦（該当なら1）</t>
    <rPh sb="0" eb="2">
      <t>カフ</t>
    </rPh>
    <phoneticPr fontId="1"/>
  </si>
  <si>
    <t>所得金額調整控除</t>
    <rPh sb="0" eb="2">
      <t>ショトク</t>
    </rPh>
    <rPh sb="2" eb="4">
      <t>キンガク</t>
    </rPh>
    <rPh sb="4" eb="6">
      <t>チョウセイ</t>
    </rPh>
    <rPh sb="6" eb="8">
      <t>コウジョ</t>
    </rPh>
    <phoneticPr fontId="1"/>
  </si>
  <si>
    <t>都道府県民税所得割</t>
    <rPh sb="0" eb="4">
      <t>トドウフケン</t>
    </rPh>
    <rPh sb="4" eb="5">
      <t>ミン</t>
    </rPh>
    <rPh sb="5" eb="6">
      <t>ゼイ</t>
    </rPh>
    <rPh sb="6" eb="8">
      <t>ショトク</t>
    </rPh>
    <rPh sb="8" eb="9">
      <t>ワリ</t>
    </rPh>
    <phoneticPr fontId="1"/>
  </si>
  <si>
    <t>市町村民税所得割</t>
    <rPh sb="0" eb="3">
      <t>シチョウソン</t>
    </rPh>
    <rPh sb="3" eb="4">
      <t>ミン</t>
    </rPh>
    <rPh sb="4" eb="5">
      <t>ゼイ</t>
    </rPh>
    <rPh sb="5" eb="7">
      <t>ショトク</t>
    </rPh>
    <rPh sb="7" eb="8">
      <t>ワリ</t>
    </rPh>
    <phoneticPr fontId="1"/>
  </si>
  <si>
    <t>手元に源泉徴収票や住民税納税通知書がある</t>
    <rPh sb="0" eb="2">
      <t>テモト</t>
    </rPh>
    <rPh sb="3" eb="8">
      <t>ゲンセンチョウシュウヒョウ</t>
    </rPh>
    <rPh sb="9" eb="12">
      <t>ジュウミンゼイ</t>
    </rPh>
    <rPh sb="12" eb="17">
      <t>ノウゼイツウチショ</t>
    </rPh>
    <phoneticPr fontId="1"/>
  </si>
  <si>
    <t>NO</t>
    <phoneticPr fontId="1"/>
  </si>
  <si>
    <t>①のシートへ</t>
    <phoneticPr fontId="1"/>
  </si>
  <si>
    <t>YES</t>
    <phoneticPr fontId="1"/>
  </si>
  <si>
    <t>住民税納税通知書がある</t>
    <phoneticPr fontId="1"/>
  </si>
  <si>
    <t>②のシートへ</t>
    <phoneticPr fontId="1"/>
  </si>
  <si>
    <t>③のシートへ</t>
    <phoneticPr fontId="1"/>
  </si>
  <si>
    <t>所得控除合計</t>
    <rPh sb="0" eb="2">
      <t>ショトク</t>
    </rPh>
    <rPh sb="2" eb="4">
      <t>コウジョ</t>
    </rPh>
    <rPh sb="4" eb="6">
      <t>ゴウケイ</t>
    </rPh>
    <phoneticPr fontId="1"/>
  </si>
  <si>
    <t>※源泉徴収票がある方でより正確な限度額を知りたい方は④のシートに入力後⑤のシートをご使用ください。</t>
    <rPh sb="1" eb="5">
      <t>ゲンセンチョウシュウ</t>
    </rPh>
    <rPh sb="5" eb="6">
      <t>ヒョウ</t>
    </rPh>
    <rPh sb="9" eb="10">
      <t>カタ</t>
    </rPh>
    <rPh sb="13" eb="15">
      <t>セイカク</t>
    </rPh>
    <rPh sb="16" eb="19">
      <t>ゲンドガク</t>
    </rPh>
    <rPh sb="20" eb="21">
      <t>シ</t>
    </rPh>
    <rPh sb="24" eb="25">
      <t>カタ</t>
    </rPh>
    <rPh sb="32" eb="35">
      <t>ニュウリョクゴ</t>
    </rPh>
    <rPh sb="42" eb="44">
      <t>シヨウ</t>
    </rPh>
    <phoneticPr fontId="1"/>
  </si>
  <si>
    <t>　　　　(65歳以上)</t>
    <rPh sb="7" eb="8">
      <t>サイ</t>
    </rPh>
    <rPh sb="8" eb="10">
      <t>イジョウ</t>
    </rPh>
    <phoneticPr fontId="1"/>
  </si>
  <si>
    <t>所得税率</t>
    <rPh sb="0" eb="3">
      <t>ショトクゼイ</t>
    </rPh>
    <rPh sb="3" eb="4">
      <t>リツ</t>
    </rPh>
    <phoneticPr fontId="1"/>
  </si>
  <si>
    <t>所得税額</t>
    <rPh sb="0" eb="2">
      <t>ショトク</t>
    </rPh>
    <rPh sb="2" eb="4">
      <t>ゼイガク</t>
    </rPh>
    <phoneticPr fontId="1"/>
  </si>
  <si>
    <t>合計課税所得額</t>
    <rPh sb="0" eb="2">
      <t>ゴウケイ</t>
    </rPh>
    <rPh sb="2" eb="4">
      <t>カゼイ</t>
    </rPh>
    <rPh sb="4" eb="6">
      <t>ショトク</t>
    </rPh>
    <rPh sb="6" eb="7">
      <t>ガク</t>
    </rPh>
    <phoneticPr fontId="1"/>
  </si>
  <si>
    <t>旧生命保険料支払額</t>
    <rPh sb="0" eb="1">
      <t>キュウ</t>
    </rPh>
    <rPh sb="1" eb="6">
      <t>セイメイホケンリョウ</t>
    </rPh>
    <rPh sb="6" eb="8">
      <t>シハライ</t>
    </rPh>
    <rPh sb="8" eb="9">
      <t>ガク</t>
    </rPh>
    <phoneticPr fontId="1"/>
  </si>
  <si>
    <t>新生命保険料支払額</t>
    <rPh sb="0" eb="1">
      <t>シン</t>
    </rPh>
    <rPh sb="1" eb="3">
      <t>セイメイ</t>
    </rPh>
    <rPh sb="3" eb="6">
      <t>ホケンリョウ</t>
    </rPh>
    <rPh sb="6" eb="8">
      <t>シハライ</t>
    </rPh>
    <rPh sb="8" eb="9">
      <t>ガク</t>
    </rPh>
    <phoneticPr fontId="1"/>
  </si>
  <si>
    <t>旧個人年金保険料支払額</t>
    <rPh sb="0" eb="1">
      <t>キュウ</t>
    </rPh>
    <rPh sb="1" eb="3">
      <t>コジン</t>
    </rPh>
    <rPh sb="3" eb="8">
      <t>ネンキンホケンリョウ</t>
    </rPh>
    <rPh sb="8" eb="10">
      <t>シハライ</t>
    </rPh>
    <rPh sb="10" eb="11">
      <t>ガク</t>
    </rPh>
    <phoneticPr fontId="1"/>
  </si>
  <si>
    <t>新個人年金保険料支払額</t>
    <rPh sb="0" eb="1">
      <t>シン</t>
    </rPh>
    <rPh sb="1" eb="3">
      <t>コジン</t>
    </rPh>
    <rPh sb="3" eb="8">
      <t>ネンキンホケンリョウ</t>
    </rPh>
    <rPh sb="8" eb="11">
      <t>シハライガク</t>
    </rPh>
    <phoneticPr fontId="1"/>
  </si>
  <si>
    <t>介護医療保険料支払額</t>
    <rPh sb="0" eb="2">
      <t>カイゴ</t>
    </rPh>
    <rPh sb="2" eb="4">
      <t>イリョウ</t>
    </rPh>
    <rPh sb="4" eb="7">
      <t>ホケンリョウ</t>
    </rPh>
    <rPh sb="7" eb="10">
      <t>シハライガク</t>
    </rPh>
    <phoneticPr fontId="1"/>
  </si>
  <si>
    <t>　　　　　　　　　　　　　YES</t>
    <phoneticPr fontId="1"/>
  </si>
  <si>
    <t>源泉徴収票がある　※</t>
    <phoneticPr fontId="1"/>
  </si>
  <si>
    <t>【注意】どのシートを使用しても目安となりますのでご了承ください。</t>
    <rPh sb="1" eb="3">
      <t>チュウイ</t>
    </rPh>
    <rPh sb="10" eb="12">
      <t>シヨウ</t>
    </rPh>
    <rPh sb="15" eb="17">
      <t>メヤス</t>
    </rPh>
    <rPh sb="25" eb="27">
      <t>リョウショウ</t>
    </rPh>
    <phoneticPr fontId="1"/>
  </si>
  <si>
    <t>配偶者の有無</t>
    <rPh sb="0" eb="3">
      <t>ハイグウシャ</t>
    </rPh>
    <rPh sb="4" eb="6">
      <t>ウム</t>
    </rPh>
    <phoneticPr fontId="1"/>
  </si>
  <si>
    <t>→</t>
  </si>
  <si>
    <t>専業主婦の場合は「１」</t>
    <rPh sb="0" eb="4">
      <t>センギョウシュフ</t>
    </rPh>
    <rPh sb="5" eb="7">
      <t>バアイ</t>
    </rPh>
    <phoneticPr fontId="1"/>
  </si>
  <si>
    <t>共働きの場合は「２」</t>
    <rPh sb="0" eb="2">
      <t>トモバタラ</t>
    </rPh>
    <rPh sb="4" eb="6">
      <t>バアイ</t>
    </rPh>
    <phoneticPr fontId="1"/>
  </si>
  <si>
    <t>配偶者の収入</t>
    <rPh sb="0" eb="3">
      <t>ハイグウシャ</t>
    </rPh>
    <rPh sb="4" eb="6">
      <t>シュウニュウ</t>
    </rPh>
    <phoneticPr fontId="1"/>
  </si>
  <si>
    <t>配偶者の所得</t>
    <rPh sb="0" eb="3">
      <t>ハイグウシャ</t>
    </rPh>
    <rPh sb="4" eb="6">
      <t>ショトク</t>
    </rPh>
    <phoneticPr fontId="1"/>
  </si>
  <si>
    <t>配偶者（特別）控除</t>
    <rPh sb="0" eb="3">
      <t>ハイグウシャ</t>
    </rPh>
    <rPh sb="4" eb="6">
      <t>トクベツ</t>
    </rPh>
    <rPh sb="7" eb="9">
      <t>コウジョ</t>
    </rPh>
    <phoneticPr fontId="1"/>
  </si>
  <si>
    <t>扶養親族について</t>
    <rPh sb="0" eb="4">
      <t>フヨウシンゾク</t>
    </rPh>
    <phoneticPr fontId="1"/>
  </si>
  <si>
    <t>※社会保険料支払額や生命保険料支払額を未入力の場合は限度額が実際より高く出ますのでご注意ください。</t>
    <rPh sb="1" eb="6">
      <t>シャカイホケンリョウ</t>
    </rPh>
    <rPh sb="6" eb="8">
      <t>シハラ</t>
    </rPh>
    <rPh sb="8" eb="9">
      <t>ガク</t>
    </rPh>
    <rPh sb="10" eb="14">
      <t>セイメイホケン</t>
    </rPh>
    <rPh sb="14" eb="15">
      <t>リョウ</t>
    </rPh>
    <rPh sb="19" eb="22">
      <t>ミニュウリョク</t>
    </rPh>
    <rPh sb="23" eb="25">
      <t>バアイ</t>
    </rPh>
    <rPh sb="26" eb="29">
      <t>ゲンドガク</t>
    </rPh>
    <rPh sb="30" eb="32">
      <t>ジッサイ</t>
    </rPh>
    <rPh sb="34" eb="35">
      <t>タカ</t>
    </rPh>
    <rPh sb="36" eb="37">
      <t>デ</t>
    </rPh>
    <rPh sb="42" eb="44">
      <t>チュウイ</t>
    </rPh>
    <phoneticPr fontId="1"/>
  </si>
  <si>
    <t>～１５歳</t>
    <rPh sb="3" eb="4">
      <t>サイ</t>
    </rPh>
    <phoneticPr fontId="1"/>
  </si>
  <si>
    <t>１６歳～１８歳</t>
    <rPh sb="2" eb="3">
      <t>サイ</t>
    </rPh>
    <rPh sb="6" eb="7">
      <t>サイ</t>
    </rPh>
    <phoneticPr fontId="1"/>
  </si>
  <si>
    <t>１９歳～２２歳</t>
    <rPh sb="2" eb="3">
      <t>サイ</t>
    </rPh>
    <rPh sb="6" eb="7">
      <t>サイ</t>
    </rPh>
    <phoneticPr fontId="1"/>
  </si>
  <si>
    <t>扶養控除</t>
    <rPh sb="0" eb="4">
      <t>フヨウコウジョ</t>
    </rPh>
    <phoneticPr fontId="1"/>
  </si>
  <si>
    <t>社会保険料支払額</t>
    <rPh sb="0" eb="5">
      <t>シャカイホケンリョウ</t>
    </rPh>
    <rPh sb="5" eb="7">
      <t>シハラ</t>
    </rPh>
    <rPh sb="7" eb="8">
      <t>ガク</t>
    </rPh>
    <phoneticPr fontId="1"/>
  </si>
  <si>
    <t>月額</t>
    <rPh sb="0" eb="1">
      <t>ゲツ</t>
    </rPh>
    <rPh sb="1" eb="2">
      <t>ガク</t>
    </rPh>
    <phoneticPr fontId="1"/>
  </si>
  <si>
    <t>社会保険料控除</t>
    <rPh sb="0" eb="5">
      <t>シャカイホケンリョウ</t>
    </rPh>
    <rPh sb="5" eb="7">
      <t>コウジョ</t>
    </rPh>
    <phoneticPr fontId="1"/>
  </si>
  <si>
    <t>生命保険料支払額</t>
    <rPh sb="0" eb="5">
      <t>セイメイホケンリョウ</t>
    </rPh>
    <rPh sb="5" eb="7">
      <t>シハラ</t>
    </rPh>
    <rPh sb="7" eb="8">
      <t>ガク</t>
    </rPh>
    <phoneticPr fontId="1"/>
  </si>
  <si>
    <t>※国民健康保険料（税）や国民年金、介護保険料もここに入力。</t>
    <rPh sb="1" eb="8">
      <t>コクミンケンコウホケンリョウ</t>
    </rPh>
    <rPh sb="9" eb="10">
      <t>ゼイ</t>
    </rPh>
    <rPh sb="12" eb="16">
      <t>コクミンネンキン</t>
    </rPh>
    <rPh sb="17" eb="22">
      <t>カイゴホケンリョウ</t>
    </rPh>
    <rPh sb="26" eb="28">
      <t>ニュウリョク</t>
    </rPh>
    <phoneticPr fontId="1"/>
  </si>
  <si>
    <t>個人年金支払額</t>
    <rPh sb="0" eb="4">
      <t>コジンネンキン</t>
    </rPh>
    <rPh sb="4" eb="6">
      <t>シハラ</t>
    </rPh>
    <rPh sb="6" eb="7">
      <t>ガク</t>
    </rPh>
    <phoneticPr fontId="1"/>
  </si>
  <si>
    <t>生命保険料控除（一般）</t>
    <rPh sb="0" eb="5">
      <t>セイメイホケンリョウ</t>
    </rPh>
    <rPh sb="5" eb="7">
      <t>コウジョ</t>
    </rPh>
    <rPh sb="8" eb="10">
      <t>イッパン</t>
    </rPh>
    <phoneticPr fontId="1"/>
  </si>
  <si>
    <t>生命保険料控除（個人年金）</t>
    <rPh sb="0" eb="5">
      <t>セイメイホケンリョウ</t>
    </rPh>
    <rPh sb="5" eb="7">
      <t>コウジョ</t>
    </rPh>
    <rPh sb="8" eb="12">
      <t>コジンネンキン</t>
    </rPh>
    <phoneticPr fontId="1"/>
  </si>
  <si>
    <t xml:space="preserve">    ２３歳～</t>
    <rPh sb="6" eb="7">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</si>
</sst>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P創英角ｺﾞｼｯｸUB"/>
      <family val="3"/>
      <charset val="128"/>
    </font>
    <font>
      <b/>
      <sz val="11"/>
      <color theme="1"/>
      <name val="HGS創英角ｺﾞｼｯｸUB"/>
      <family val="3"/>
      <charset val="128"/>
    </font>
    <font>
      <sz val="11"/>
      <color theme="1"/>
      <name val="HGS創英角ｺﾞｼｯｸUB"/>
      <family val="3"/>
      <charset val="128"/>
    </font>
    <font>
      <sz val="20"/>
      <color theme="1"/>
      <name val="HGS創英角ｺﾞｼｯｸUB"/>
      <family val="3"/>
      <charset val="128"/>
    </font>
    <font>
      <sz val="16"/>
      <color theme="1"/>
      <name val="HGS創英角ｺﾞｼｯｸUB"/>
      <family val="3"/>
      <charset val="128"/>
    </font>
    <font>
      <sz val="14"/>
      <color theme="1"/>
      <name val="HGP創英角ｺﾞｼｯｸUB"/>
      <family val="3"/>
      <charset val="128"/>
    </font>
    <font>
      <u val="double"/>
      <sz val="14"/>
      <color rgb="FFFF0000"/>
      <name val="HGP創英角ｺﾞｼｯｸUB"/>
      <family val="3"/>
      <charset val="128"/>
    </font>
    <font>
      <sz val="20"/>
      <color rgb="FFFF0000"/>
      <name val="HGS創英角ｺﾞｼｯｸUB"/>
      <family val="3"/>
      <charset val="128"/>
    </font>
    <font>
      <u val="double"/>
      <sz val="14"/>
      <color rgb="FFFF0000"/>
      <name val="HGS創英角ｺﾞｼｯｸUB"/>
      <family val="3"/>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3" fillId="0" borderId="0" xfId="0" applyFont="1" applyAlignment="1">
      <alignment horizontal="center" vertical="top"/>
    </xf>
    <xf numFmtId="0" fontId="3" fillId="0" borderId="0" xfId="0" applyFont="1" applyAlignment="1">
      <alignment horizontal="left" vertical="center"/>
    </xf>
    <xf numFmtId="0" fontId="5" fillId="0" borderId="0" xfId="0" applyFont="1">
      <alignment vertical="center"/>
    </xf>
    <xf numFmtId="0" fontId="5" fillId="0" borderId="7" xfId="0" applyFont="1" applyBorder="1" applyAlignment="1">
      <alignment horizontal="left"/>
    </xf>
    <xf numFmtId="38" fontId="6" fillId="0" borderId="0" xfId="1" applyNumberFormat="1" applyFont="1" applyBorder="1" applyAlignment="1"/>
    <xf numFmtId="38" fontId="4" fillId="0" borderId="0" xfId="1" applyFont="1">
      <alignment vertical="center"/>
    </xf>
    <xf numFmtId="0" fontId="5" fillId="0" borderId="0" xfId="0" applyFont="1" applyAlignment="1">
      <alignment horizontal="center" vertical="center"/>
    </xf>
    <xf numFmtId="38" fontId="5" fillId="0" borderId="0" xfId="1" applyFont="1">
      <alignment vertical="center"/>
    </xf>
    <xf numFmtId="38" fontId="5" fillId="2" borderId="1" xfId="1" applyFont="1" applyFill="1" applyBorder="1">
      <alignment vertical="center"/>
    </xf>
    <xf numFmtId="38" fontId="5" fillId="0" borderId="1" xfId="1" applyFont="1" applyBorder="1">
      <alignment vertical="center"/>
    </xf>
    <xf numFmtId="38" fontId="5" fillId="0" borderId="0" xfId="1" applyFont="1" applyBorder="1">
      <alignment vertical="center"/>
    </xf>
    <xf numFmtId="0" fontId="5" fillId="0" borderId="0" xfId="0" applyFont="1" applyAlignment="1">
      <alignment horizontal="center" vertical="center"/>
    </xf>
    <xf numFmtId="38" fontId="5" fillId="0" borderId="2" xfId="1" applyFont="1" applyBorder="1">
      <alignment vertical="center"/>
    </xf>
    <xf numFmtId="38" fontId="5" fillId="0" borderId="0" xfId="1" applyFont="1" applyFill="1" applyBorder="1">
      <alignment vertical="center"/>
    </xf>
    <xf numFmtId="0" fontId="5" fillId="0" borderId="0" xfId="0" applyFont="1" applyAlignment="1">
      <alignment horizontal="left" vertical="center"/>
    </xf>
    <xf numFmtId="38" fontId="5" fillId="0" borderId="1" xfId="0" applyNumberFormat="1" applyFont="1" applyBorder="1">
      <alignment vertical="center"/>
    </xf>
    <xf numFmtId="9" fontId="5" fillId="0" borderId="1" xfId="2" applyFont="1" applyBorder="1">
      <alignment vertical="center"/>
    </xf>
    <xf numFmtId="38" fontId="4" fillId="0" borderId="2" xfId="1" applyFont="1" applyBorder="1">
      <alignment vertical="center"/>
    </xf>
    <xf numFmtId="38" fontId="5" fillId="0" borderId="10" xfId="1" applyFont="1" applyBorder="1">
      <alignment vertical="center"/>
    </xf>
    <xf numFmtId="38" fontId="5" fillId="0" borderId="0" xfId="1" applyFont="1" applyAlignment="1">
      <alignment horizontal="left" vertical="center"/>
    </xf>
    <xf numFmtId="0" fontId="7" fillId="0" borderId="0" xfId="0" applyFont="1">
      <alignment vertical="center"/>
    </xf>
    <xf numFmtId="3" fontId="7" fillId="0" borderId="0" xfId="0" applyNumberFormat="1" applyFont="1">
      <alignment vertical="center"/>
    </xf>
    <xf numFmtId="38" fontId="7" fillId="0" borderId="3" xfId="1" applyFont="1" applyBorder="1" applyAlignment="1">
      <alignment horizontal="right"/>
    </xf>
    <xf numFmtId="38" fontId="7" fillId="0" borderId="8" xfId="1" applyFont="1" applyBorder="1" applyAlignment="1">
      <alignment horizontal="right"/>
    </xf>
    <xf numFmtId="38" fontId="7" fillId="0" borderId="4" xfId="1" applyFont="1" applyBorder="1" applyAlignment="1">
      <alignment horizontal="right"/>
    </xf>
    <xf numFmtId="38" fontId="7" fillId="0" borderId="5" xfId="1" applyFont="1" applyBorder="1" applyAlignment="1">
      <alignment horizontal="right"/>
    </xf>
    <xf numFmtId="38" fontId="7" fillId="0" borderId="9" xfId="1" applyFont="1" applyBorder="1" applyAlignment="1">
      <alignment horizontal="right"/>
    </xf>
    <xf numFmtId="38" fontId="7" fillId="0" borderId="6" xfId="1" applyFont="1" applyBorder="1" applyAlignment="1">
      <alignment horizontal="right"/>
    </xf>
    <xf numFmtId="0" fontId="7" fillId="0" borderId="0" xfId="0" applyFont="1" applyBorder="1" applyAlignment="1">
      <alignment vertical="center"/>
    </xf>
    <xf numFmtId="0" fontId="7" fillId="0" borderId="0" xfId="0" applyFont="1" applyBorder="1" applyAlignment="1">
      <alignment horizontal="right"/>
    </xf>
    <xf numFmtId="38" fontId="7" fillId="0" borderId="3" xfId="0" applyNumberFormat="1" applyFont="1" applyBorder="1" applyAlignment="1">
      <alignment horizontal="right"/>
    </xf>
    <xf numFmtId="0" fontId="7" fillId="0" borderId="8"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7" fillId="0" borderId="9" xfId="0" applyFont="1" applyBorder="1" applyAlignment="1">
      <alignment horizontal="right"/>
    </xf>
    <xf numFmtId="0" fontId="7" fillId="0" borderId="6" xfId="0" applyFont="1" applyBorder="1" applyAlignment="1">
      <alignment horizontal="right"/>
    </xf>
    <xf numFmtId="0" fontId="7" fillId="0" borderId="0" xfId="0" applyFont="1" applyBorder="1" applyAlignment="1">
      <alignment horizontal="left" vertical="center"/>
    </xf>
    <xf numFmtId="9" fontId="7" fillId="0" borderId="3" xfId="2" applyFont="1" applyBorder="1" applyAlignment="1">
      <alignment horizontal="right"/>
    </xf>
    <xf numFmtId="9" fontId="7" fillId="0" borderId="8" xfId="2" applyFont="1" applyBorder="1" applyAlignment="1">
      <alignment horizontal="right"/>
    </xf>
    <xf numFmtId="9" fontId="7" fillId="0" borderId="4" xfId="2" applyFont="1" applyBorder="1" applyAlignment="1">
      <alignment horizontal="right"/>
    </xf>
    <xf numFmtId="9" fontId="7" fillId="0" borderId="5" xfId="2" applyFont="1" applyBorder="1" applyAlignment="1">
      <alignment horizontal="right"/>
    </xf>
    <xf numFmtId="9" fontId="7" fillId="0" borderId="9" xfId="2" applyFont="1" applyBorder="1" applyAlignment="1">
      <alignment horizontal="right"/>
    </xf>
    <xf numFmtId="9" fontId="7" fillId="0" borderId="6" xfId="2" applyFont="1" applyBorder="1" applyAlignment="1">
      <alignment horizontal="right"/>
    </xf>
    <xf numFmtId="0" fontId="7" fillId="0" borderId="7" xfId="0" applyFont="1" applyBorder="1" applyAlignment="1">
      <alignment horizontal="center" vertical="center"/>
    </xf>
    <xf numFmtId="0" fontId="7" fillId="0" borderId="0" xfId="0" applyFont="1" applyBorder="1">
      <alignment vertical="center"/>
    </xf>
    <xf numFmtId="0" fontId="7" fillId="0" borderId="7" xfId="0" applyFont="1" applyBorder="1" applyAlignment="1">
      <alignment horizontal="left"/>
    </xf>
    <xf numFmtId="0" fontId="7" fillId="0" borderId="0" xfId="0" applyFont="1" applyAlignment="1">
      <alignment horizontal="center" vertical="center"/>
    </xf>
    <xf numFmtId="38" fontId="7" fillId="0" borderId="3" xfId="1" applyFont="1" applyBorder="1" applyAlignment="1">
      <alignment horizontal="center" vertical="center"/>
    </xf>
    <xf numFmtId="38" fontId="7" fillId="0" borderId="8" xfId="1" applyFont="1" applyBorder="1" applyAlignment="1">
      <alignment horizontal="center" vertical="center"/>
    </xf>
    <xf numFmtId="38" fontId="7" fillId="0" borderId="4" xfId="1" applyFont="1" applyBorder="1" applyAlignment="1">
      <alignment horizontal="center" vertical="center"/>
    </xf>
    <xf numFmtId="38" fontId="7" fillId="0" borderId="5" xfId="1" applyFont="1" applyBorder="1" applyAlignment="1">
      <alignment horizontal="center" vertical="center"/>
    </xf>
    <xf numFmtId="38" fontId="7" fillId="0" borderId="9" xfId="1" applyFont="1" applyBorder="1" applyAlignment="1">
      <alignment horizontal="center" vertical="center"/>
    </xf>
    <xf numFmtId="38" fontId="7" fillId="0" borderId="6" xfId="1" applyFont="1" applyBorder="1" applyAlignment="1">
      <alignment horizontal="center" vertical="center"/>
    </xf>
    <xf numFmtId="0" fontId="7" fillId="0" borderId="0" xfId="0" applyFont="1" applyAlignment="1">
      <alignment horizontal="left" vertical="center"/>
    </xf>
    <xf numFmtId="0" fontId="8" fillId="2" borderId="2" xfId="0" applyFont="1" applyFill="1" applyBorder="1" applyAlignment="1">
      <alignment horizontal="center" vertical="center"/>
    </xf>
    <xf numFmtId="0" fontId="8" fillId="0" borderId="0" xfId="0" applyFont="1">
      <alignment vertical="center"/>
    </xf>
    <xf numFmtId="0" fontId="9" fillId="0" borderId="0" xfId="0" applyFont="1" applyAlignment="1">
      <alignment horizontal="center" vertical="center"/>
    </xf>
    <xf numFmtId="38" fontId="10" fillId="2" borderId="3" xfId="1" applyNumberFormat="1" applyFont="1" applyFill="1" applyBorder="1" applyAlignment="1">
      <alignment horizontal="right" vertical="center"/>
    </xf>
    <xf numFmtId="38" fontId="10" fillId="2" borderId="8" xfId="1" applyNumberFormat="1" applyFont="1" applyFill="1" applyBorder="1" applyAlignment="1">
      <alignment horizontal="right" vertical="center"/>
    </xf>
    <xf numFmtId="38" fontId="10" fillId="2" borderId="4" xfId="1" applyNumberFormat="1" applyFont="1" applyFill="1" applyBorder="1" applyAlignment="1">
      <alignment horizontal="right" vertical="center"/>
    </xf>
    <xf numFmtId="38" fontId="10" fillId="2" borderId="5" xfId="1" applyNumberFormat="1" applyFont="1" applyFill="1" applyBorder="1" applyAlignment="1">
      <alignment horizontal="right" vertical="center"/>
    </xf>
    <xf numFmtId="38" fontId="10" fillId="2" borderId="9" xfId="1" applyNumberFormat="1" applyFont="1" applyFill="1" applyBorder="1" applyAlignment="1">
      <alignment horizontal="right" vertical="center"/>
    </xf>
    <xf numFmtId="38" fontId="10" fillId="2" borderId="6" xfId="1" applyNumberFormat="1" applyFont="1" applyFill="1" applyBorder="1" applyAlignment="1">
      <alignment horizontal="right" vertical="center"/>
    </xf>
    <xf numFmtId="38" fontId="10" fillId="2" borderId="3" xfId="1" applyFont="1" applyFill="1" applyBorder="1" applyAlignment="1">
      <alignment horizontal="right" vertical="center"/>
    </xf>
    <xf numFmtId="38" fontId="10" fillId="2" borderId="8" xfId="1" applyFont="1" applyFill="1" applyBorder="1" applyAlignment="1">
      <alignment horizontal="right" vertical="center"/>
    </xf>
    <xf numFmtId="38" fontId="10" fillId="2" borderId="4" xfId="1" applyFont="1" applyFill="1" applyBorder="1" applyAlignment="1">
      <alignment horizontal="right" vertical="center"/>
    </xf>
    <xf numFmtId="38" fontId="10" fillId="2" borderId="5" xfId="1" applyFont="1" applyFill="1" applyBorder="1" applyAlignment="1">
      <alignment horizontal="right" vertical="center"/>
    </xf>
    <xf numFmtId="38" fontId="10" fillId="2" borderId="9" xfId="1" applyFont="1" applyFill="1" applyBorder="1" applyAlignment="1">
      <alignment horizontal="right" vertical="center"/>
    </xf>
    <xf numFmtId="38" fontId="10" fillId="2" borderId="6" xfId="1" applyFont="1" applyFill="1" applyBorder="1" applyAlignment="1">
      <alignment horizontal="right" vertical="center"/>
    </xf>
    <xf numFmtId="38" fontId="6" fillId="3" borderId="3" xfId="1" applyFont="1" applyFill="1" applyBorder="1" applyAlignment="1">
      <alignment horizontal="right" vertical="center"/>
    </xf>
    <xf numFmtId="38" fontId="6" fillId="3" borderId="8" xfId="1" applyFont="1" applyFill="1" applyBorder="1" applyAlignment="1">
      <alignment horizontal="right" vertical="center"/>
    </xf>
    <xf numFmtId="38" fontId="6" fillId="3" borderId="4" xfId="1" applyFont="1" applyFill="1" applyBorder="1" applyAlignment="1">
      <alignment horizontal="right" vertical="center"/>
    </xf>
    <xf numFmtId="38" fontId="6" fillId="3" borderId="5" xfId="1" applyFont="1" applyFill="1" applyBorder="1" applyAlignment="1">
      <alignment horizontal="right" vertical="center"/>
    </xf>
    <xf numFmtId="38" fontId="6" fillId="3" borderId="9" xfId="1" applyFont="1" applyFill="1" applyBorder="1" applyAlignment="1">
      <alignment horizontal="right" vertical="center"/>
    </xf>
    <xf numFmtId="38" fontId="6" fillId="3" borderId="6" xfId="1" applyFont="1" applyFill="1" applyBorder="1" applyAlignment="1">
      <alignment horizontal="right" vertical="center"/>
    </xf>
    <xf numFmtId="38" fontId="7" fillId="0" borderId="0" xfId="1" applyFont="1" applyBorder="1" applyAlignment="1">
      <alignment horizontal="right"/>
    </xf>
    <xf numFmtId="38" fontId="7" fillId="0" borderId="0" xfId="1" applyFont="1" applyBorder="1" applyAlignment="1">
      <alignment horizontal="center" vertical="center"/>
    </xf>
    <xf numFmtId="38" fontId="7" fillId="0" borderId="0" xfId="1" applyFont="1" applyBorder="1" applyAlignment="1">
      <alignment horizontal="right" vertical="center"/>
    </xf>
    <xf numFmtId="38" fontId="7" fillId="0" borderId="11" xfId="1" applyFont="1" applyBorder="1" applyAlignment="1">
      <alignment horizontal="center" vertical="center"/>
    </xf>
    <xf numFmtId="38" fontId="7" fillId="0" borderId="12" xfId="1" applyFont="1" applyBorder="1" applyAlignment="1">
      <alignment horizontal="center" vertical="center"/>
    </xf>
    <xf numFmtId="38" fontId="7" fillId="0" borderId="13" xfId="1" applyFont="1" applyBorder="1" applyAlignment="1">
      <alignment horizontal="center" vertical="center"/>
    </xf>
    <xf numFmtId="0" fontId="7" fillId="0" borderId="2" xfId="0" applyFont="1" applyBorder="1">
      <alignment vertical="center"/>
    </xf>
    <xf numFmtId="38" fontId="7" fillId="0" borderId="0" xfId="1" applyFont="1" applyBorder="1" applyAlignment="1">
      <alignment horizontal="center" vertical="center"/>
    </xf>
    <xf numFmtId="0" fontId="7" fillId="0" borderId="11" xfId="0" applyFont="1" applyBorder="1" applyAlignment="1">
      <alignment horizontal="right" vertical="center"/>
    </xf>
    <xf numFmtId="0" fontId="7" fillId="0" borderId="13" xfId="0" applyFont="1" applyBorder="1" applyAlignment="1">
      <alignment horizontal="right" vertical="center"/>
    </xf>
    <xf numFmtId="38" fontId="7" fillId="0" borderId="11" xfId="1" applyFont="1" applyBorder="1" applyAlignment="1">
      <alignment horizontal="right" vertical="center"/>
    </xf>
    <xf numFmtId="38" fontId="7" fillId="0" borderId="12" xfId="1" applyFont="1" applyBorder="1" applyAlignment="1">
      <alignment horizontal="right" vertical="center"/>
    </xf>
    <xf numFmtId="38" fontId="7" fillId="0" borderId="13" xfId="1" applyFont="1" applyBorder="1" applyAlignment="1">
      <alignment horizontal="right" vertical="center"/>
    </xf>
    <xf numFmtId="38" fontId="7" fillId="4" borderId="11" xfId="1" applyFont="1" applyFill="1" applyBorder="1" applyAlignment="1">
      <alignment horizontal="right" vertical="center"/>
    </xf>
    <xf numFmtId="38" fontId="7" fillId="4" borderId="12" xfId="1" applyFont="1" applyFill="1" applyBorder="1" applyAlignment="1">
      <alignment horizontal="right" vertical="center"/>
    </xf>
    <xf numFmtId="38" fontId="7" fillId="4" borderId="13" xfId="1" applyFont="1" applyFill="1" applyBorder="1" applyAlignment="1">
      <alignment horizontal="right" vertical="center"/>
    </xf>
    <xf numFmtId="38" fontId="6" fillId="0" borderId="3" xfId="1" applyFont="1" applyBorder="1" applyAlignment="1">
      <alignment horizontal="right" vertical="center"/>
    </xf>
    <xf numFmtId="38" fontId="6" fillId="0" borderId="8" xfId="1" applyFont="1" applyBorder="1" applyAlignment="1">
      <alignment horizontal="right" vertical="center"/>
    </xf>
    <xf numFmtId="38" fontId="6" fillId="0" borderId="4" xfId="1" applyFont="1" applyBorder="1" applyAlignment="1">
      <alignment horizontal="right" vertical="center"/>
    </xf>
    <xf numFmtId="38" fontId="6" fillId="0" borderId="5" xfId="1" applyFont="1" applyBorder="1" applyAlignment="1">
      <alignment horizontal="right" vertical="center"/>
    </xf>
    <xf numFmtId="38" fontId="6" fillId="0" borderId="9" xfId="1" applyFont="1" applyBorder="1" applyAlignment="1">
      <alignment horizontal="right" vertical="center"/>
    </xf>
    <xf numFmtId="38" fontId="6" fillId="0" borderId="6" xfId="1" applyFont="1" applyBorder="1" applyAlignment="1">
      <alignment horizontal="right" vertical="center"/>
    </xf>
    <xf numFmtId="38" fontId="6" fillId="0" borderId="3" xfId="0" applyNumberFormat="1" applyFont="1" applyBorder="1" applyAlignment="1">
      <alignment horizontal="right" vertical="center"/>
    </xf>
    <xf numFmtId="0" fontId="6" fillId="0" borderId="8"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9" xfId="0" applyFont="1" applyBorder="1" applyAlignment="1">
      <alignment horizontal="right" vertical="center"/>
    </xf>
    <xf numFmtId="0" fontId="6" fillId="0" borderId="6" xfId="0" applyFont="1" applyBorder="1" applyAlignment="1">
      <alignment horizontal="right" vertical="center"/>
    </xf>
    <xf numFmtId="38" fontId="7" fillId="0" borderId="2" xfId="1" applyFont="1" applyBorder="1" applyAlignment="1">
      <alignment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11" fillId="0" borderId="0" xfId="0" applyFont="1">
      <alignment vertical="center"/>
    </xf>
    <xf numFmtId="38" fontId="7" fillId="4" borderId="2" xfId="1" applyFont="1" applyFill="1" applyBorder="1" applyAlignment="1">
      <alignment horizontal="righ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38" fontId="7" fillId="0" borderId="0" xfId="1" applyFont="1" applyFill="1" applyBorder="1" applyAlignment="1">
      <alignment horizontal="right" vertical="center"/>
    </xf>
    <xf numFmtId="0" fontId="7" fillId="4"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38" fontId="7" fillId="0" borderId="0" xfId="1" applyFont="1" applyBorder="1" applyAlignment="1">
      <alignment horizontal="left" vertical="center"/>
    </xf>
    <xf numFmtId="38" fontId="7" fillId="5" borderId="11" xfId="1" applyFont="1" applyFill="1" applyBorder="1" applyAlignment="1">
      <alignment horizontal="center" vertical="center"/>
    </xf>
    <xf numFmtId="38" fontId="7" fillId="5" borderId="12" xfId="1" applyFont="1" applyFill="1" applyBorder="1" applyAlignment="1">
      <alignment horizontal="center" vertical="center"/>
    </xf>
    <xf numFmtId="38" fontId="7" fillId="5" borderId="13" xfId="1" applyFont="1" applyFill="1" applyBorder="1" applyAlignment="1">
      <alignment horizontal="center" vertical="center"/>
    </xf>
    <xf numFmtId="38" fontId="7" fillId="0" borderId="2" xfId="1" applyFont="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104775</xdr:colOff>
      <xdr:row>1</xdr:row>
      <xdr:rowOff>161924</xdr:rowOff>
    </xdr:from>
    <xdr:to>
      <xdr:col>2</xdr:col>
      <xdr:colOff>619125</xdr:colOff>
      <xdr:row>1</xdr:row>
      <xdr:rowOff>465581</xdr:rowOff>
    </xdr:to>
    <xdr:sp macro="" textlink="">
      <xdr:nvSpPr>
        <xdr:cNvPr id="2" name="矢印: 右 1">
          <a:extLst>
            <a:ext uri="{FF2B5EF4-FFF2-40B4-BE49-F238E27FC236}">
              <a16:creationId xmlns:a16="http://schemas.microsoft.com/office/drawing/2014/main" id="{7BCF0952-DE12-4F81-B3B0-90F0D34913E7}"/>
            </a:ext>
          </a:extLst>
        </xdr:cNvPr>
        <xdr:cNvSpPr/>
      </xdr:nvSpPr>
      <xdr:spPr>
        <a:xfrm>
          <a:off x="3952875" y="342899"/>
          <a:ext cx="514350" cy="3036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1733550</xdr:colOff>
      <xdr:row>2</xdr:row>
      <xdr:rowOff>66675</xdr:rowOff>
    </xdr:from>
    <xdr:to>
      <xdr:col>1</xdr:col>
      <xdr:colOff>2038350</xdr:colOff>
      <xdr:row>2</xdr:row>
      <xdr:rowOff>409575</xdr:rowOff>
    </xdr:to>
    <xdr:sp macro="" textlink="">
      <xdr:nvSpPr>
        <xdr:cNvPr id="3" name="矢印: 下 2">
          <a:extLst>
            <a:ext uri="{FF2B5EF4-FFF2-40B4-BE49-F238E27FC236}">
              <a16:creationId xmlns:a16="http://schemas.microsoft.com/office/drawing/2014/main" id="{32E70212-5430-4BEE-A1DF-284E44FFB836}"/>
            </a:ext>
          </a:extLst>
        </xdr:cNvPr>
        <xdr:cNvSpPr/>
      </xdr:nvSpPr>
      <xdr:spPr>
        <a:xfrm>
          <a:off x="2419350" y="790575"/>
          <a:ext cx="3048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3</xdr:row>
      <xdr:rowOff>161924</xdr:rowOff>
    </xdr:from>
    <xdr:to>
      <xdr:col>2</xdr:col>
      <xdr:colOff>619125</xdr:colOff>
      <xdr:row>3</xdr:row>
      <xdr:rowOff>465581</xdr:rowOff>
    </xdr:to>
    <xdr:sp macro="" textlink="">
      <xdr:nvSpPr>
        <xdr:cNvPr id="4" name="矢印: 右 3">
          <a:extLst>
            <a:ext uri="{FF2B5EF4-FFF2-40B4-BE49-F238E27FC236}">
              <a16:creationId xmlns:a16="http://schemas.microsoft.com/office/drawing/2014/main" id="{908576B0-2918-4E73-BE27-2A008DFA34E4}"/>
            </a:ext>
          </a:extLst>
        </xdr:cNvPr>
        <xdr:cNvSpPr/>
      </xdr:nvSpPr>
      <xdr:spPr>
        <a:xfrm>
          <a:off x="3952875" y="342899"/>
          <a:ext cx="514350" cy="3036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4</xdr:row>
      <xdr:rowOff>161924</xdr:rowOff>
    </xdr:from>
    <xdr:to>
      <xdr:col>2</xdr:col>
      <xdr:colOff>619125</xdr:colOff>
      <xdr:row>4</xdr:row>
      <xdr:rowOff>465581</xdr:rowOff>
    </xdr:to>
    <xdr:sp macro="" textlink="">
      <xdr:nvSpPr>
        <xdr:cNvPr id="6" name="矢印: 右 5">
          <a:extLst>
            <a:ext uri="{FF2B5EF4-FFF2-40B4-BE49-F238E27FC236}">
              <a16:creationId xmlns:a16="http://schemas.microsoft.com/office/drawing/2014/main" id="{691AEC83-DC9E-4703-A133-61350BDAC559}"/>
            </a:ext>
          </a:extLst>
        </xdr:cNvPr>
        <xdr:cNvSpPr/>
      </xdr:nvSpPr>
      <xdr:spPr>
        <a:xfrm>
          <a:off x="3952875" y="1343024"/>
          <a:ext cx="514350" cy="3036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4</xdr:row>
      <xdr:rowOff>161924</xdr:rowOff>
    </xdr:from>
    <xdr:to>
      <xdr:col>2</xdr:col>
      <xdr:colOff>619125</xdr:colOff>
      <xdr:row>4</xdr:row>
      <xdr:rowOff>465581</xdr:rowOff>
    </xdr:to>
    <xdr:sp macro="" textlink="">
      <xdr:nvSpPr>
        <xdr:cNvPr id="7" name="矢印: 右 6">
          <a:extLst>
            <a:ext uri="{FF2B5EF4-FFF2-40B4-BE49-F238E27FC236}">
              <a16:creationId xmlns:a16="http://schemas.microsoft.com/office/drawing/2014/main" id="{41D7478B-C4D8-4771-86C7-0D9872AC5241}"/>
            </a:ext>
          </a:extLst>
        </xdr:cNvPr>
        <xdr:cNvSpPr/>
      </xdr:nvSpPr>
      <xdr:spPr>
        <a:xfrm>
          <a:off x="3952875" y="1343024"/>
          <a:ext cx="514350" cy="3036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4D844-8828-4B38-8AB3-63F78660AD56}">
  <dimension ref="B1:D8"/>
  <sheetViews>
    <sheetView tabSelected="1" workbookViewId="0">
      <selection activeCell="B8" sqref="B8"/>
    </sheetView>
  </sheetViews>
  <sheetFormatPr defaultRowHeight="13.5" x14ac:dyDescent="0.15"/>
  <cols>
    <col min="1" max="1" width="9" style="1"/>
    <col min="2" max="2" width="48.5" style="1" customWidth="1"/>
    <col min="3" max="3" width="9" style="1"/>
    <col min="4" max="4" width="16" style="1" customWidth="1"/>
    <col min="5" max="16384" width="9" style="1"/>
  </cols>
  <sheetData>
    <row r="1" spans="2:4" ht="14.25" thickBot="1" x14ac:dyDescent="0.2"/>
    <row r="2" spans="2:4" ht="42.75" customHeight="1" thickBot="1" x14ac:dyDescent="0.2">
      <c r="B2" s="56" t="s">
        <v>81</v>
      </c>
      <c r="C2" s="2" t="s">
        <v>82</v>
      </c>
      <c r="D2" s="56" t="s">
        <v>83</v>
      </c>
    </row>
    <row r="3" spans="2:4" ht="36" customHeight="1" thickBot="1" x14ac:dyDescent="0.2">
      <c r="B3" s="3" t="s">
        <v>99</v>
      </c>
    </row>
    <row r="4" spans="2:4" ht="45" customHeight="1" thickBot="1" x14ac:dyDescent="0.2">
      <c r="B4" s="56" t="s">
        <v>85</v>
      </c>
      <c r="C4" s="2" t="s">
        <v>84</v>
      </c>
      <c r="D4" s="56" t="s">
        <v>86</v>
      </c>
    </row>
    <row r="5" spans="2:4" ht="45" customHeight="1" thickBot="1" x14ac:dyDescent="0.2">
      <c r="B5" s="56" t="s">
        <v>100</v>
      </c>
      <c r="C5" s="2" t="s">
        <v>84</v>
      </c>
      <c r="D5" s="56" t="s">
        <v>87</v>
      </c>
    </row>
    <row r="7" spans="2:4" s="57" customFormat="1" ht="38.25" customHeight="1" x14ac:dyDescent="0.15">
      <c r="B7" s="58" t="s">
        <v>101</v>
      </c>
      <c r="C7" s="58"/>
      <c r="D7" s="58"/>
    </row>
    <row r="8" spans="2:4" s="57" customFormat="1" ht="19.5" customHeight="1" x14ac:dyDescent="0.15">
      <c r="B8" s="57" t="s">
        <v>89</v>
      </c>
    </row>
  </sheetData>
  <mergeCells count="1">
    <mergeCell ref="B7:D7"/>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2F93-CE6B-4ECC-9506-1A5742606ECA}">
  <dimension ref="B1:K39"/>
  <sheetViews>
    <sheetView topLeftCell="A10" workbookViewId="0">
      <selection activeCell="I44" sqref="I44"/>
    </sheetView>
  </sheetViews>
  <sheetFormatPr defaultRowHeight="13.5" x14ac:dyDescent="0.15"/>
  <cols>
    <col min="1" max="1" width="9" style="4"/>
    <col min="2" max="2" width="10.625" style="4" customWidth="1"/>
    <col min="3" max="3" width="5.375" style="4" bestFit="1" customWidth="1"/>
    <col min="4" max="4" width="3" style="4" customWidth="1"/>
    <col min="5" max="5" width="17.375" style="4" customWidth="1"/>
    <col min="6" max="6" width="4.625" style="4" customWidth="1"/>
    <col min="7" max="7" width="6.625" style="4" customWidth="1"/>
    <col min="8" max="8" width="16.375" style="4" customWidth="1"/>
    <col min="9" max="9" width="11.25" style="4" customWidth="1"/>
    <col min="10" max="10" width="10.25" style="4" customWidth="1"/>
    <col min="11" max="11" width="27.25" style="4" hidden="1" customWidth="1"/>
    <col min="12" max="16384" width="9" style="4"/>
  </cols>
  <sheetData>
    <row r="1" spans="2:11" s="22" customFormat="1" ht="26.25" customHeight="1" thickBot="1" x14ac:dyDescent="0.2">
      <c r="B1" s="22" t="s">
        <v>71</v>
      </c>
    </row>
    <row r="2" spans="2:11" s="22" customFormat="1" ht="26.25" customHeight="1" x14ac:dyDescent="0.15">
      <c r="B2" s="71">
        <v>3439562</v>
      </c>
      <c r="C2" s="72"/>
      <c r="D2" s="72"/>
      <c r="E2" s="73"/>
      <c r="H2" s="23"/>
    </row>
    <row r="3" spans="2:11" s="22" customFormat="1" ht="26.25" customHeight="1" thickBot="1" x14ac:dyDescent="0.2">
      <c r="B3" s="74"/>
      <c r="C3" s="75"/>
      <c r="D3" s="75"/>
      <c r="E3" s="76"/>
      <c r="F3" s="22" t="s">
        <v>69</v>
      </c>
    </row>
    <row r="4" spans="2:11" s="22" customFormat="1" ht="26.25" hidden="1" customHeight="1" thickBot="1" x14ac:dyDescent="0.2">
      <c r="B4" s="22" t="s">
        <v>72</v>
      </c>
    </row>
    <row r="5" spans="2:11" s="22" customFormat="1" ht="26.25" hidden="1" customHeight="1" x14ac:dyDescent="0.15">
      <c r="B5" s="93">
        <f>IF(B2&lt;550999,0,IF(B2&lt;1618999,B2-550000,IF(B2&lt;1619999,1069000,IF(B2&lt;1621999,1070000,IF(B2&lt;1623999,1072000,IF(B2&lt;1627999,1074000,IF(B2&lt;1799999,ROUNDDOWN(B2/4,-3)*2.4+100000,IF(B2&lt;3599999,ROUNDDOWN(B2/4,-3)*2.8-80000,IF(B2&lt;6599999,ROUNDDOWN(B2/4,-3)*3.2-440000,IF(B2&lt;8499999,ROUNDDOWN(B2*0.9-1100000,0),IF(B2&lt;8500000,ROUNDDOWN(B2-1950000,0),B2-1950000)))))))))))</f>
        <v>2325200</v>
      </c>
      <c r="C5" s="94">
        <f>IF(A5&lt;650999,0,IF(A5&lt;1618999,A5-650000,IF(A5&lt;1619999,969000,IF(A5&lt;1621999,970000,IF(A5&lt;1623999,972000,IF(A5&lt;1627999,974000,IF(A5&lt;1799999,ROUNDDOWN(A5/4,-3)*2.4,IF(A5&lt;3599999,ROUNDDOWN(A5/4,-3)*2.8-180000,IF(A5&lt;6599999,ROUNDDOWN(A5/4,-3)*3.2-540000,IF(A5&lt;9999999,ROUNDDOWN(A5*0.9-1200000,0),IF(A5&lt;14999999,ROUNDDOWN(A5*0.95-1700000,0),A5-2450000)))))))))))</f>
        <v>0</v>
      </c>
      <c r="D5" s="94"/>
      <c r="E5" s="95">
        <f>IF(B5&lt;650999,0,IF(B5&lt;1618999,B5-650000,IF(B5&lt;1619999,969000,IF(B5&lt;1621999,970000,IF(B5&lt;1623999,972000,IF(B5&lt;1627999,974000,IF(B5&lt;1799999,ROUNDDOWN(B5/4,-3)*2.4,IF(B5&lt;3599999,ROUNDDOWN(B5/4,-3)*2.8-180000,IF(B5&lt;6599999,ROUNDDOWN(B5/4,-3)*3.2-540000,IF(B5&lt;9999999,ROUNDDOWN(B5*0.9-1200000,0),IF(B5&lt;14999999,ROUNDDOWN(B5*0.95-1700000,0),B5-2450000)))))))))))</f>
        <v>1446800</v>
      </c>
    </row>
    <row r="6" spans="2:11" s="22" customFormat="1" ht="26.25" hidden="1" customHeight="1" thickBot="1" x14ac:dyDescent="0.2">
      <c r="B6" s="96" t="e">
        <f>IF(#REF!&lt;650999,0,IF(#REF!&lt;1618999,#REF!-650000,IF(#REF!&lt;1619999,969000,IF(#REF!&lt;1621999,970000,IF(#REF!&lt;1623999,972000,IF(#REF!&lt;1627999,974000,IF(#REF!&lt;1799999,ROUNDDOWN(#REF!/4,-3)*2.4,IF(#REF!&lt;3599999,ROUNDDOWN(#REF!/4,-3)*2.8-180000,IF(#REF!&lt;6599999,ROUNDDOWN(#REF!/4,-3)*3.2-540000,IF(#REF!&lt;9999999,ROUNDDOWN(#REF!*0.9-1200000,0),IF(#REF!&lt;14999999,ROUNDDOWN(#REF!*0.95-1700000,0),#REF!-2450000)))))))))))</f>
        <v>#REF!</v>
      </c>
      <c r="C6" s="97">
        <f>IF(A6&lt;650999,0,IF(A6&lt;1618999,A6-650000,IF(A6&lt;1619999,969000,IF(A6&lt;1621999,970000,IF(A6&lt;1623999,972000,IF(A6&lt;1627999,974000,IF(A6&lt;1799999,ROUNDDOWN(A6/4,-3)*2.4,IF(A6&lt;3599999,ROUNDDOWN(A6/4,-3)*2.8-180000,IF(A6&lt;6599999,ROUNDDOWN(A6/4,-3)*3.2-540000,IF(A6&lt;9999999,ROUNDDOWN(A6*0.9-1200000,0),IF(A6&lt;14999999,ROUNDDOWN(A6*0.95-1700000,0),A6-2450000)))))))))))</f>
        <v>0</v>
      </c>
      <c r="D6" s="97"/>
      <c r="E6" s="98" t="e">
        <f>IF(B6&lt;650999,0,IF(B6&lt;1618999,B6-650000,IF(B6&lt;1619999,969000,IF(B6&lt;1621999,970000,IF(B6&lt;1623999,972000,IF(B6&lt;1627999,974000,IF(B6&lt;1799999,ROUNDDOWN(B6/4,-3)*2.4,IF(B6&lt;3599999,ROUNDDOWN(B6/4,-3)*2.8-180000,IF(B6&lt;6599999,ROUNDDOWN(B6/4,-3)*3.2-540000,IF(B6&lt;9999999,ROUNDDOWN(B6*0.9-1200000,0),IF(B6&lt;14999999,ROUNDDOWN(B6*0.95-1700000,0),B6-2450000)))))))))))</f>
        <v>#REF!</v>
      </c>
      <c r="F6" s="22" t="s">
        <v>69</v>
      </c>
    </row>
    <row r="7" spans="2:11" s="22" customFormat="1" ht="26.25" customHeight="1" thickBot="1" x14ac:dyDescent="0.25">
      <c r="B7" s="77"/>
      <c r="C7" s="77"/>
      <c r="D7" s="77"/>
      <c r="E7" s="77"/>
    </row>
    <row r="8" spans="2:11" s="22" customFormat="1" ht="26.25" customHeight="1" thickBot="1" x14ac:dyDescent="0.2">
      <c r="B8" s="117" t="s">
        <v>102</v>
      </c>
      <c r="C8" s="118"/>
      <c r="D8" s="118"/>
      <c r="E8" s="119"/>
      <c r="F8" s="22" t="s">
        <v>1</v>
      </c>
      <c r="G8" s="83"/>
    </row>
    <row r="9" spans="2:11" s="22" customFormat="1" ht="26.25" customHeight="1" thickBot="1" x14ac:dyDescent="0.2">
      <c r="B9" s="79"/>
      <c r="C9" s="79"/>
      <c r="D9" s="79"/>
      <c r="E9" s="79"/>
      <c r="G9" s="107" t="s">
        <v>104</v>
      </c>
      <c r="H9" s="107"/>
      <c r="I9" s="107"/>
      <c r="K9" s="22" t="s">
        <v>108</v>
      </c>
    </row>
    <row r="10" spans="2:11" s="22" customFormat="1" ht="26.25" customHeight="1" thickBot="1" x14ac:dyDescent="0.2">
      <c r="B10" s="79"/>
      <c r="C10" s="79"/>
      <c r="D10" s="79"/>
      <c r="E10" s="79"/>
      <c r="G10" s="106" t="s">
        <v>105</v>
      </c>
      <c r="H10" s="106"/>
      <c r="I10" s="106"/>
      <c r="K10" s="105">
        <f>IF(G8=1,330000,IF(G8=2,IF(G12=0,0,IF(G12&lt;950000,330000,IF(G12&lt;1000001,330000,IF(G12&lt;1050001,310000,IF(G12&lt;1100001,260000,IF(G12&lt;1150001,210000,IF(G12&lt;1200001,160000,IF(G12&lt;1250001,110000,IF(G12&lt;1300001,60000,IF(G12&lt;1330001,30000,0)))))))))),0))</f>
        <v>0</v>
      </c>
    </row>
    <row r="11" spans="2:11" s="22" customFormat="1" ht="26.25" customHeight="1" thickBot="1" x14ac:dyDescent="0.2">
      <c r="B11" s="117" t="s">
        <v>106</v>
      </c>
      <c r="C11" s="118"/>
      <c r="D11" s="118"/>
      <c r="E11" s="119"/>
      <c r="F11" s="22" t="s">
        <v>103</v>
      </c>
      <c r="G11" s="90"/>
      <c r="H11" s="91"/>
      <c r="I11" s="92"/>
      <c r="J11" s="22" t="s">
        <v>69</v>
      </c>
    </row>
    <row r="12" spans="2:11" s="22" customFormat="1" ht="26.25" hidden="1" customHeight="1" thickBot="1" x14ac:dyDescent="0.2">
      <c r="B12" s="80" t="s">
        <v>107</v>
      </c>
      <c r="C12" s="81"/>
      <c r="D12" s="81"/>
      <c r="E12" s="82"/>
      <c r="G12" s="87">
        <f>IF(G11&lt;550999,0,IF(G11&lt;1618999,G11-550000,IF(G11&lt;1619999,1069000,IF(G11&lt;1621999,1070000,IF(G11&lt;1623999,1072000,IF(G11&lt;1627999,1074000,IF(G11&lt;1799999,ROUNDDOWN(G11/4,-3)*2.4+100000,IF(G11&lt;3599999,ROUNDDOWN(G11/4,-3)*2.8-80000,IF(G11&lt;6599999,ROUNDDOWN(G11/4,-3)*3.2-440000,IF(G11&lt;8499999,ROUNDDOWN(G11*0.9-1100000,0),IF(G11&lt;8500000,ROUNDDOWN(G11-1950000,0),G11-1950000)))))))))))</f>
        <v>0</v>
      </c>
      <c r="H12" s="88"/>
      <c r="I12" s="89"/>
      <c r="J12" s="22" t="s">
        <v>69</v>
      </c>
    </row>
    <row r="13" spans="2:11" s="22" customFormat="1" ht="26.25" customHeight="1" thickBot="1" x14ac:dyDescent="0.2">
      <c r="B13" s="84"/>
      <c r="C13" s="84"/>
      <c r="D13" s="84"/>
      <c r="E13" s="84"/>
      <c r="G13" s="79"/>
      <c r="H13" s="79"/>
      <c r="I13" s="79"/>
      <c r="K13" s="22" t="s">
        <v>114</v>
      </c>
    </row>
    <row r="14" spans="2:11" s="22" customFormat="1" ht="26.25" customHeight="1" thickBot="1" x14ac:dyDescent="0.2">
      <c r="B14" s="117" t="s">
        <v>109</v>
      </c>
      <c r="C14" s="118"/>
      <c r="D14" s="118"/>
      <c r="E14" s="119"/>
      <c r="F14" s="22" t="s">
        <v>1</v>
      </c>
      <c r="G14" s="87" t="s">
        <v>111</v>
      </c>
      <c r="H14" s="89"/>
      <c r="I14" s="109"/>
      <c r="J14" s="22" t="s">
        <v>35</v>
      </c>
      <c r="K14" s="120">
        <f>(I15+I17)*330000+I16*450000</f>
        <v>0</v>
      </c>
    </row>
    <row r="15" spans="2:11" s="22" customFormat="1" ht="26.25" customHeight="1" thickBot="1" x14ac:dyDescent="0.2">
      <c r="B15" s="84"/>
      <c r="C15" s="84"/>
      <c r="D15" s="84"/>
      <c r="E15" s="84"/>
      <c r="G15" s="87" t="s">
        <v>112</v>
      </c>
      <c r="H15" s="89"/>
      <c r="I15" s="109"/>
      <c r="J15" s="22" t="s">
        <v>35</v>
      </c>
    </row>
    <row r="16" spans="2:11" s="22" customFormat="1" ht="26.25" customHeight="1" thickBot="1" x14ac:dyDescent="0.2">
      <c r="B16" s="78"/>
      <c r="C16" s="78"/>
      <c r="D16" s="78"/>
      <c r="E16" s="78"/>
      <c r="G16" s="85" t="s">
        <v>113</v>
      </c>
      <c r="H16" s="86"/>
      <c r="I16" s="109"/>
      <c r="J16" s="22" t="s">
        <v>35</v>
      </c>
    </row>
    <row r="17" spans="2:11" s="22" customFormat="1" ht="26.25" customHeight="1" thickBot="1" x14ac:dyDescent="0.2">
      <c r="B17" s="84"/>
      <c r="C17" s="84"/>
      <c r="D17" s="84"/>
      <c r="E17" s="84"/>
      <c r="G17" s="110" t="s">
        <v>123</v>
      </c>
      <c r="H17" s="111"/>
      <c r="I17" s="109"/>
      <c r="J17" s="22" t="s">
        <v>35</v>
      </c>
    </row>
    <row r="18" spans="2:11" s="22" customFormat="1" ht="26.25" customHeight="1" thickBot="1" x14ac:dyDescent="0.2">
      <c r="B18" s="84"/>
      <c r="C18" s="84"/>
      <c r="D18" s="84"/>
      <c r="E18" s="84"/>
      <c r="G18" s="38"/>
      <c r="H18" s="38"/>
      <c r="I18" s="112"/>
      <c r="K18" s="22" t="s">
        <v>117</v>
      </c>
    </row>
    <row r="19" spans="2:11" s="22" customFormat="1" ht="26.25" customHeight="1" thickBot="1" x14ac:dyDescent="0.2">
      <c r="B19" s="117" t="s">
        <v>115</v>
      </c>
      <c r="C19" s="118"/>
      <c r="D19" s="118"/>
      <c r="E19" s="119"/>
      <c r="F19" s="22" t="s">
        <v>1</v>
      </c>
      <c r="G19" s="113" t="s">
        <v>116</v>
      </c>
      <c r="H19" s="91">
        <v>42000</v>
      </c>
      <c r="I19" s="92"/>
      <c r="J19" s="22" t="s">
        <v>69</v>
      </c>
      <c r="K19" s="120">
        <f>H19*12</f>
        <v>504000</v>
      </c>
    </row>
    <row r="20" spans="2:11" s="22" customFormat="1" ht="26.25" customHeight="1" thickBot="1" x14ac:dyDescent="0.2">
      <c r="B20" s="116" t="s">
        <v>119</v>
      </c>
      <c r="C20" s="84"/>
      <c r="D20" s="84"/>
      <c r="E20" s="84"/>
      <c r="G20" s="114"/>
      <c r="H20" s="115"/>
      <c r="I20" s="115"/>
      <c r="K20" s="46" t="s">
        <v>121</v>
      </c>
    </row>
    <row r="21" spans="2:11" s="22" customFormat="1" ht="26.25" customHeight="1" thickBot="1" x14ac:dyDescent="0.2">
      <c r="B21" s="117" t="s">
        <v>118</v>
      </c>
      <c r="C21" s="118"/>
      <c r="D21" s="118"/>
      <c r="E21" s="119"/>
      <c r="G21" s="113" t="s">
        <v>116</v>
      </c>
      <c r="H21" s="91">
        <v>7000</v>
      </c>
      <c r="I21" s="92"/>
      <c r="J21" s="22" t="s">
        <v>69</v>
      </c>
      <c r="K21" s="120">
        <f>IF((H21*12)&lt;12000,(H21*12),IF((H21*12)&lt;32000,ROUNDUP((H21*12)/2+6000,0),IF((H21*12)&lt;56000,ROUNDUP((H21*12)/4+14000,0),28000)))</f>
        <v>28000</v>
      </c>
    </row>
    <row r="22" spans="2:11" s="22" customFormat="1" ht="26.25" customHeight="1" thickBot="1" x14ac:dyDescent="0.2">
      <c r="B22" s="84"/>
      <c r="C22" s="84"/>
      <c r="D22" s="84"/>
      <c r="E22" s="84"/>
      <c r="G22" s="114"/>
      <c r="H22" s="115"/>
      <c r="I22" s="115"/>
      <c r="K22" s="46" t="s">
        <v>122</v>
      </c>
    </row>
    <row r="23" spans="2:11" s="22" customFormat="1" ht="26.25" customHeight="1" thickBot="1" x14ac:dyDescent="0.2">
      <c r="B23" s="117" t="s">
        <v>120</v>
      </c>
      <c r="C23" s="118"/>
      <c r="D23" s="118"/>
      <c r="E23" s="119"/>
      <c r="G23" s="113" t="s">
        <v>116</v>
      </c>
      <c r="H23" s="91">
        <v>10000</v>
      </c>
      <c r="I23" s="92"/>
      <c r="J23" s="22" t="s">
        <v>69</v>
      </c>
      <c r="K23" s="120">
        <f>IF((H23*12)&lt;12000,(H23*12),IF((H23*12)&lt;32000,ROUNDUP((H23*12)/2+6000,0),IF((H23*12)&lt;56000,ROUNDUP((H23*12)/4+14000,0),28000)))</f>
        <v>28000</v>
      </c>
    </row>
    <row r="24" spans="2:11" s="22" customFormat="1" ht="26.25" hidden="1" customHeight="1" thickBot="1" x14ac:dyDescent="0.2">
      <c r="B24" s="22" t="s">
        <v>88</v>
      </c>
      <c r="H24" s="23"/>
    </row>
    <row r="25" spans="2:11" s="22" customFormat="1" ht="26.25" hidden="1" customHeight="1" x14ac:dyDescent="0.15">
      <c r="B25" s="71">
        <f>430000+K10+K14+K19+K21+K23</f>
        <v>990000</v>
      </c>
      <c r="C25" s="72"/>
      <c r="D25" s="72"/>
      <c r="E25" s="73"/>
    </row>
    <row r="26" spans="2:11" s="22" customFormat="1" ht="26.25" hidden="1" customHeight="1" thickBot="1" x14ac:dyDescent="0.2">
      <c r="B26" s="74"/>
      <c r="C26" s="75"/>
      <c r="D26" s="75"/>
      <c r="E26" s="76"/>
      <c r="F26" s="22" t="s">
        <v>69</v>
      </c>
    </row>
    <row r="27" spans="2:11" s="22" customFormat="1" ht="26.25" hidden="1" customHeight="1" thickBot="1" x14ac:dyDescent="0.25">
      <c r="B27" s="30" t="s">
        <v>93</v>
      </c>
      <c r="C27" s="31"/>
      <c r="D27" s="31"/>
      <c r="E27" s="31"/>
    </row>
    <row r="28" spans="2:11" s="22" customFormat="1" ht="26.25" hidden="1" customHeight="1" x14ac:dyDescent="0.15">
      <c r="B28" s="99">
        <f>ROUNDDOWN(B5-B25,-3)</f>
        <v>1335000</v>
      </c>
      <c r="C28" s="100"/>
      <c r="D28" s="100"/>
      <c r="E28" s="101"/>
    </row>
    <row r="29" spans="2:11" s="22" customFormat="1" ht="26.25" hidden="1" customHeight="1" thickBot="1" x14ac:dyDescent="0.2">
      <c r="B29" s="102"/>
      <c r="C29" s="103"/>
      <c r="D29" s="103"/>
      <c r="E29" s="104"/>
      <c r="F29" s="22" t="s">
        <v>69</v>
      </c>
    </row>
    <row r="30" spans="2:11" s="22" customFormat="1" ht="26.25" hidden="1" customHeight="1" thickBot="1" x14ac:dyDescent="0.25">
      <c r="B30" s="38" t="s">
        <v>91</v>
      </c>
      <c r="C30" s="31"/>
      <c r="D30" s="31"/>
    </row>
    <row r="31" spans="2:11" s="22" customFormat="1" ht="26.25" hidden="1" customHeight="1" x14ac:dyDescent="0.15">
      <c r="B31" s="39">
        <f>IF(B28&lt;1949000,0.05,IF(B28&lt;3299000,0.1,IF(B28&lt;6949000,0.2,IF(B28&lt;8999000,0.23,IF(B28&lt;17999000,0.33,IF(B28&lt;40000000,0.4,0.45))))))</f>
        <v>0.05</v>
      </c>
      <c r="C31" s="40"/>
      <c r="D31" s="41"/>
    </row>
    <row r="32" spans="2:11" s="22" customFormat="1" ht="26.25" hidden="1" customHeight="1" thickBot="1" x14ac:dyDescent="0.2">
      <c r="B32" s="42"/>
      <c r="C32" s="43"/>
      <c r="D32" s="44"/>
    </row>
    <row r="33" spans="2:6" s="22" customFormat="1" ht="26.25" hidden="1" customHeight="1" thickBot="1" x14ac:dyDescent="0.2">
      <c r="B33" s="22" t="s">
        <v>92</v>
      </c>
    </row>
    <row r="34" spans="2:6" s="22" customFormat="1" ht="26.25" hidden="1" customHeight="1" x14ac:dyDescent="0.15">
      <c r="B34" s="24">
        <f>IF($B$31=0.05,$B$28*$B$31*1.021,IF($B$31=0.1,($B$28*$B$31-97500)*1.021,IF($B$31=0.2,($B$28*$B$31-427500)*1.021,IF($B$31=0.23,($B$28*$B$31-636000)*1.021,IF($B$31=0.33,($B$28*$B$31-1536000)*1.021,IF($B$31=0.4,($B$28*$B$31-2796000)*1.021,($B$28*$B$31-4796000)*1.021))))))</f>
        <v>68151.75</v>
      </c>
      <c r="C34" s="26">
        <f>IF($H$65=0.05,$H$63*$H$65*1.021,IF($H$65=0.1,($H$63*$H$65-97500)*1.021,IF($H$63=0.2,($H$63*$H$65-427500)*1.021,IF($H$65=0.23,($H$63*$H$65-636000)*1.021,IF($H$65=0.33,($H$63*$H$65-1536000)*1.021,IF($H$65=0.4,($H$63*$H$65-2796000)*1.021,($H$63*$H$65-4796000)*1.021))))))</f>
        <v>-4896716</v>
      </c>
      <c r="D34" s="45"/>
      <c r="E34" s="46"/>
    </row>
    <row r="35" spans="2:6" s="22" customFormat="1" ht="26.25" hidden="1" customHeight="1" thickBot="1" x14ac:dyDescent="0.2">
      <c r="B35" s="27">
        <f>IF($H$65=0.05,$H$63*$H$65*1.021,IF($H$65=0.1,($H$63*$H$65-97500)*1.021,IF($H$63=0.2,($H$63*$H$65-427500)*1.021,IF($H$65=0.23,($H$63*$H$65-636000)*1.021,IF($H$65=0.33,($H$63*$H$65-1536000)*1.021,IF($H$65=0.4,($H$63*$H$65-2796000)*1.021,($H$63*$H$65-4796000)*1.021))))))</f>
        <v>-4896716</v>
      </c>
      <c r="C35" s="29">
        <f>IF($H$65=0.05,$H$63*$H$65*1.021,IF($H$65=0.1,($H$63*$H$65-97500)*1.021,IF($H$63=0.2,($H$63*$H$65-427500)*1.021,IF($H$65=0.23,($H$63*$H$65-636000)*1.021,IF($H$65=0.33,($H$63*$H$65-1536000)*1.021,IF($H$65=0.4,($H$63*$H$65-2796000)*1.021,($H$63*$H$65-4796000)*1.021))))))</f>
        <v>-4896716</v>
      </c>
      <c r="D35" s="45" t="s">
        <v>69</v>
      </c>
      <c r="E35" s="46"/>
    </row>
    <row r="36" spans="2:6" s="22" customFormat="1" ht="26.25" customHeight="1" thickBot="1" x14ac:dyDescent="0.2">
      <c r="B36" s="22" t="s">
        <v>68</v>
      </c>
    </row>
    <row r="37" spans="2:6" s="22" customFormat="1" ht="26.25" customHeight="1" x14ac:dyDescent="0.15">
      <c r="B37" s="65">
        <f>(((B28*0.1)-5500)*0.2)/(0.9-B31*1.021)+2000</f>
        <v>32154.897225985042</v>
      </c>
      <c r="C37" s="66"/>
      <c r="D37" s="66"/>
      <c r="E37" s="67"/>
      <c r="F37" s="47" t="s">
        <v>69</v>
      </c>
    </row>
    <row r="38" spans="2:6" s="22" customFormat="1" ht="26.25" customHeight="1" thickBot="1" x14ac:dyDescent="0.2">
      <c r="B38" s="68"/>
      <c r="C38" s="69"/>
      <c r="D38" s="69"/>
      <c r="E38" s="70"/>
      <c r="F38" s="47"/>
    </row>
    <row r="39" spans="2:6" ht="36.75" customHeight="1" x14ac:dyDescent="0.15">
      <c r="B39" s="108" t="s">
        <v>110</v>
      </c>
    </row>
  </sheetData>
  <mergeCells count="27">
    <mergeCell ref="H19:I19"/>
    <mergeCell ref="B21:E21"/>
    <mergeCell ref="H21:I21"/>
    <mergeCell ref="B23:E23"/>
    <mergeCell ref="H23:I23"/>
    <mergeCell ref="B14:E14"/>
    <mergeCell ref="G9:I9"/>
    <mergeCell ref="G10:I10"/>
    <mergeCell ref="G14:H14"/>
    <mergeCell ref="G15:H15"/>
    <mergeCell ref="B37:E38"/>
    <mergeCell ref="F37:F38"/>
    <mergeCell ref="B16:E16"/>
    <mergeCell ref="B8:E8"/>
    <mergeCell ref="B11:E11"/>
    <mergeCell ref="G11:I11"/>
    <mergeCell ref="G12:I12"/>
    <mergeCell ref="B12:E12"/>
    <mergeCell ref="G16:H16"/>
    <mergeCell ref="G17:H17"/>
    <mergeCell ref="B2:E3"/>
    <mergeCell ref="B5:E6"/>
    <mergeCell ref="B25:E26"/>
    <mergeCell ref="B28:E29"/>
    <mergeCell ref="B31:D32"/>
    <mergeCell ref="B34:C35"/>
    <mergeCell ref="B19:E19"/>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xr:uid="{41E9016E-A684-49A9-BE5D-B2C9C230773B}">
          <x14:formula1>
            <xm:f>Sheet4!$A$1:$A$3</xm:f>
          </x14:formula1>
          <xm:sqref>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CFB7A-C35E-44F0-8747-F703D767BFF9}">
  <dimension ref="A2:A3"/>
  <sheetViews>
    <sheetView workbookViewId="0">
      <selection activeCell="D9" sqref="D9"/>
    </sheetView>
  </sheetViews>
  <sheetFormatPr defaultRowHeight="13.5" x14ac:dyDescent="0.15"/>
  <sheetData>
    <row r="2" spans="1:1" x14ac:dyDescent="0.15">
      <c r="A2">
        <v>1</v>
      </c>
    </row>
    <row r="3" spans="1:1" x14ac:dyDescent="0.15">
      <c r="A3">
        <v>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7"/>
  <sheetViews>
    <sheetView workbookViewId="0">
      <selection activeCell="B26" sqref="B26:E27"/>
    </sheetView>
  </sheetViews>
  <sheetFormatPr defaultRowHeight="18.75" x14ac:dyDescent="0.15"/>
  <cols>
    <col min="1" max="1" width="9" style="22"/>
    <col min="2" max="2" width="10.625" style="22" customWidth="1"/>
    <col min="3" max="3" width="5.375" style="22" bestFit="1" customWidth="1"/>
    <col min="4" max="4" width="3" style="22" customWidth="1"/>
    <col min="5" max="5" width="17.375" style="22" customWidth="1"/>
    <col min="6" max="6" width="4.625" style="22" customWidth="1"/>
    <col min="7" max="7" width="9" style="22"/>
    <col min="8" max="10" width="10.25" style="22" customWidth="1"/>
    <col min="11" max="16384" width="9" style="22"/>
  </cols>
  <sheetData>
    <row r="1" spans="2:8" ht="24.75" customHeight="1" thickBot="1" x14ac:dyDescent="0.2">
      <c r="B1" s="22" t="s">
        <v>71</v>
      </c>
    </row>
    <row r="2" spans="2:8" ht="24.75" customHeight="1" x14ac:dyDescent="0.15">
      <c r="B2" s="71">
        <v>3439562</v>
      </c>
      <c r="C2" s="72"/>
      <c r="D2" s="72"/>
      <c r="E2" s="73"/>
      <c r="H2" s="23"/>
    </row>
    <row r="3" spans="2:8" ht="24.75" customHeight="1" thickBot="1" x14ac:dyDescent="0.2">
      <c r="B3" s="74"/>
      <c r="C3" s="75"/>
      <c r="D3" s="75"/>
      <c r="E3" s="76"/>
      <c r="F3" s="22" t="s">
        <v>69</v>
      </c>
    </row>
    <row r="4" spans="2:8" ht="24.75" hidden="1" customHeight="1" thickBot="1" x14ac:dyDescent="0.2">
      <c r="B4" s="48" t="s">
        <v>72</v>
      </c>
      <c r="C4" s="48"/>
      <c r="D4" s="48"/>
      <c r="E4" s="48"/>
    </row>
    <row r="5" spans="2:8" ht="24.75" hidden="1" customHeight="1" x14ac:dyDescent="0.15">
      <c r="B5" s="49">
        <f>IF(B2&lt;650999,0,IF(B2&lt;1618999,B2-650000,IF(B2&lt;1619999,969000,IF(B2&lt;1621999,970000,IF(B2&lt;1623999,972000,IF(B2&lt;1627999,974000,IF(B2&lt;1799999,ROUNDDOWN(B2/4,-3)*2.4,IF(B2&lt;3599999,ROUNDDOWN(B2/4,-3)*2.8-180000,IF(B2&lt;6599999,ROUNDDOWN(B2/4,-3)*3.2-540000,IF(B2&lt;9999999,ROUNDDOWN(B2*0.9-1200000,0),IF(B2&lt;14999999,ROUNDDOWN(B2*0.95-1700000,0),B2-2450000)))))))))))</f>
        <v>2225200</v>
      </c>
      <c r="C5" s="50">
        <f>IF(A5&lt;650999,0,IF(A5&lt;1618999,A5-650000,IF(A5&lt;1619999,969000,IF(A5&lt;1621999,970000,IF(A5&lt;1623999,972000,IF(A5&lt;1627999,974000,IF(A5&lt;1799999,ROUNDDOWN(A5/4,-3)*2.4,IF(A5&lt;3599999,ROUNDDOWN(A5/4,-3)*2.8-180000,IF(A5&lt;6599999,ROUNDDOWN(A5/4,-3)*3.2-540000,IF(A5&lt;9999999,ROUNDDOWN(A5*0.9-1200000,0),IF(A5&lt;14999999,ROUNDDOWN(A5*0.95-1700000,0),A5-2450000)))))))))))</f>
        <v>0</v>
      </c>
      <c r="D5" s="50"/>
      <c r="E5" s="51">
        <f>IF(B5&lt;650999,0,IF(B5&lt;1618999,B5-650000,IF(B5&lt;1619999,969000,IF(B5&lt;1621999,970000,IF(B5&lt;1623999,972000,IF(B5&lt;1627999,974000,IF(B5&lt;1799999,ROUNDDOWN(B5/4,-3)*2.4,IF(B5&lt;3599999,ROUNDDOWN(B5/4,-3)*2.8-180000,IF(B5&lt;6599999,ROUNDDOWN(B5/4,-3)*3.2-540000,IF(B5&lt;9999999,ROUNDDOWN(B5*0.9-1200000,0),IF(B5&lt;14999999,ROUNDDOWN(B5*0.95-1700000,0),B5-2450000)))))))))))</f>
        <v>1376800</v>
      </c>
    </row>
    <row r="6" spans="2:8" ht="24.75" hidden="1" customHeight="1" thickBot="1" x14ac:dyDescent="0.2">
      <c r="B6" s="52" t="e">
        <f>IF(#REF!&lt;650999,0,IF(#REF!&lt;1618999,#REF!-650000,IF(#REF!&lt;1619999,969000,IF(#REF!&lt;1621999,970000,IF(#REF!&lt;1623999,972000,IF(#REF!&lt;1627999,974000,IF(#REF!&lt;1799999,ROUNDDOWN(#REF!/4,-3)*2.4,IF(#REF!&lt;3599999,ROUNDDOWN(#REF!/4,-3)*2.8-180000,IF(#REF!&lt;6599999,ROUNDDOWN(#REF!/4,-3)*3.2-540000,IF(#REF!&lt;9999999,ROUNDDOWN(#REF!*0.9-1200000,0),IF(#REF!&lt;14999999,ROUNDDOWN(#REF!*0.95-1700000,0),#REF!-2450000)))))))))))</f>
        <v>#REF!</v>
      </c>
      <c r="C6" s="53">
        <f>IF(A6&lt;650999,0,IF(A6&lt;1618999,A6-650000,IF(A6&lt;1619999,969000,IF(A6&lt;1621999,970000,IF(A6&lt;1623999,972000,IF(A6&lt;1627999,974000,IF(A6&lt;1799999,ROUNDDOWN(A6/4,-3)*2.4,IF(A6&lt;3599999,ROUNDDOWN(A6/4,-3)*2.8-180000,IF(A6&lt;6599999,ROUNDDOWN(A6/4,-3)*3.2-540000,IF(A6&lt;9999999,ROUNDDOWN(A6*0.9-1200000,0),IF(A6&lt;14999999,ROUNDDOWN(A6*0.95-1700000,0),A6-2450000)))))))))))</f>
        <v>0</v>
      </c>
      <c r="D6" s="53"/>
      <c r="E6" s="54" t="e">
        <f>IF(B6&lt;650999,0,IF(B6&lt;1618999,B6-650000,IF(B6&lt;1619999,969000,IF(B6&lt;1621999,970000,IF(B6&lt;1623999,972000,IF(B6&lt;1627999,974000,IF(B6&lt;1799999,ROUNDDOWN(B6/4,-3)*2.4,IF(B6&lt;3599999,ROUNDDOWN(B6/4,-3)*2.8-180000,IF(B6&lt;6599999,ROUNDDOWN(B6/4,-3)*3.2-540000,IF(B6&lt;9999999,ROUNDDOWN(B6*0.9-1200000,0),IF(B6&lt;14999999,ROUNDDOWN(B6*0.95-1700000,0),B6-2450000)))))))))))</f>
        <v>#REF!</v>
      </c>
      <c r="F6" s="22" t="s">
        <v>69</v>
      </c>
    </row>
    <row r="7" spans="2:8" ht="24.75" customHeight="1" thickBot="1" x14ac:dyDescent="0.2">
      <c r="B7" s="55" t="s">
        <v>88</v>
      </c>
      <c r="C7" s="48"/>
      <c r="D7" s="48"/>
      <c r="E7" s="48"/>
      <c r="H7" s="23"/>
    </row>
    <row r="8" spans="2:8" ht="24.75" customHeight="1" x14ac:dyDescent="0.15">
      <c r="B8" s="71">
        <v>1103515</v>
      </c>
      <c r="C8" s="72"/>
      <c r="D8" s="72"/>
      <c r="E8" s="73"/>
    </row>
    <row r="9" spans="2:8" ht="24.75" customHeight="1" thickBot="1" x14ac:dyDescent="0.2">
      <c r="B9" s="74"/>
      <c r="C9" s="75"/>
      <c r="D9" s="75"/>
      <c r="E9" s="76"/>
      <c r="F9" s="22" t="s">
        <v>69</v>
      </c>
    </row>
    <row r="10" spans="2:8" ht="24.75" hidden="1" customHeight="1" thickBot="1" x14ac:dyDescent="0.25">
      <c r="B10" s="30" t="s">
        <v>93</v>
      </c>
      <c r="C10" s="31"/>
      <c r="D10" s="31"/>
      <c r="E10" s="31"/>
    </row>
    <row r="11" spans="2:8" ht="24.75" hidden="1" customHeight="1" x14ac:dyDescent="0.15">
      <c r="B11" s="32">
        <f>ROUNDDOWN(B5-B8,-3)</f>
        <v>1121000</v>
      </c>
      <c r="C11" s="33"/>
      <c r="D11" s="33"/>
      <c r="E11" s="34"/>
    </row>
    <row r="12" spans="2:8" ht="24.75" hidden="1" customHeight="1" thickBot="1" x14ac:dyDescent="0.2">
      <c r="B12" s="35"/>
      <c r="C12" s="36"/>
      <c r="D12" s="36"/>
      <c r="E12" s="37"/>
      <c r="F12" s="22" t="s">
        <v>69</v>
      </c>
    </row>
    <row r="13" spans="2:8" ht="24.75" hidden="1" customHeight="1" thickBot="1" x14ac:dyDescent="0.25">
      <c r="B13" s="38" t="s">
        <v>91</v>
      </c>
      <c r="C13" s="31"/>
      <c r="D13" s="31"/>
    </row>
    <row r="14" spans="2:8" ht="24.75" hidden="1" customHeight="1" x14ac:dyDescent="0.15">
      <c r="B14" s="39">
        <f>IF(B11&lt;1949000,0.05,IF(B11&lt;3299000,0.1,IF(B11&lt;6949000,0.2,IF(B11&lt;8999000,0.23,IF(B11&lt;17999000,0.33,IF(B11&lt;40000000,0.4,0.45))))))</f>
        <v>0.05</v>
      </c>
      <c r="C14" s="40"/>
      <c r="D14" s="41"/>
    </row>
    <row r="15" spans="2:8" ht="24.75" hidden="1" customHeight="1" thickBot="1" x14ac:dyDescent="0.2">
      <c r="B15" s="42"/>
      <c r="C15" s="43"/>
      <c r="D15" s="44"/>
    </row>
    <row r="16" spans="2:8" ht="24.75" hidden="1" customHeight="1" thickBot="1" x14ac:dyDescent="0.2">
      <c r="B16" s="22" t="s">
        <v>92</v>
      </c>
    </row>
    <row r="17" spans="2:6" ht="24.75" hidden="1" customHeight="1" x14ac:dyDescent="0.15">
      <c r="B17" s="24">
        <f>IF($B$14=0.05,$B$11*$B$14*1.021,IF($B$14=0.1,($B$11*$B$14-97500)*1.021,IF($B$14=0.2,($B$11*$B$14-427500)*1.021,IF($B$14=0.23,($B$11*$B$14-636000)*1.021,IF($B$14=0.33,($B$11*$B$14-1536000)*1.021,IF($B$14=0.4,($B$11*$B$14-2796000)*1.021,($B$11*$B$14-4796000)*1.021))))))</f>
        <v>57227.049999999996</v>
      </c>
      <c r="C17" s="26">
        <f>IF($H$53=0.05,$H$51*$H$53*1.021,IF($H$53=0.1,($H$51*$H$53-97500)*1.021,IF($H$51=0.2,($H$51*$H$53-427500)*1.021,IF($H$53=0.23,($H$51*$H$53-636000)*1.021,IF($H$53=0.33,($H$51*$H$53-1536000)*1.021,IF($H$53=0.4,($H$51*$H$53-2796000)*1.021,($H$51*$H$53-4796000)*1.021))))))</f>
        <v>-4896716</v>
      </c>
      <c r="D17" s="45"/>
      <c r="E17" s="46"/>
    </row>
    <row r="18" spans="2:6" ht="24.75" hidden="1" customHeight="1" thickBot="1" x14ac:dyDescent="0.2">
      <c r="B18" s="27">
        <f>IF($H$53=0.05,$H$51*$H$53*1.021,IF($H$53=0.1,($H$51*$H$53-97500)*1.021,IF($H$51=0.2,($H$51*$H$53-427500)*1.021,IF($H$53=0.23,($H$51*$H$53-636000)*1.021,IF($H$53=0.33,($H$51*$H$53-1536000)*1.021,IF($H$53=0.4,($H$51*$H$53-2796000)*1.021,($H$51*$H$53-4796000)*1.021))))))</f>
        <v>-4896716</v>
      </c>
      <c r="C18" s="29">
        <f>IF($H$53=0.05,$H$51*$H$53*1.021,IF($H$53=0.1,($H$51*$H$53-97500)*1.021,IF($H$51=0.2,($H$51*$H$53-427500)*1.021,IF($H$53=0.23,($H$51*$H$53-636000)*1.021,IF($H$53=0.33,($H$51*$H$53-1536000)*1.021,IF($H$53=0.4,($H$51*$H$53-2796000)*1.021,($H$51*$H$53-4796000)*1.021))))))</f>
        <v>-4896716</v>
      </c>
      <c r="D18" s="45" t="s">
        <v>69</v>
      </c>
      <c r="E18" s="46"/>
    </row>
    <row r="19" spans="2:6" ht="24.75" customHeight="1" thickBot="1" x14ac:dyDescent="0.2">
      <c r="B19" s="22" t="s">
        <v>79</v>
      </c>
    </row>
    <row r="20" spans="2:6" ht="24.75" customHeight="1" x14ac:dyDescent="0.15">
      <c r="B20" s="71">
        <v>51800</v>
      </c>
      <c r="C20" s="72"/>
      <c r="D20" s="72"/>
      <c r="E20" s="73"/>
    </row>
    <row r="21" spans="2:6" ht="24.75" customHeight="1" thickBot="1" x14ac:dyDescent="0.2">
      <c r="B21" s="74"/>
      <c r="C21" s="75"/>
      <c r="D21" s="75"/>
      <c r="E21" s="76"/>
      <c r="F21" s="22" t="s">
        <v>73</v>
      </c>
    </row>
    <row r="22" spans="2:6" ht="24.75" customHeight="1" thickBot="1" x14ac:dyDescent="0.2">
      <c r="B22" s="22" t="s">
        <v>80</v>
      </c>
    </row>
    <row r="23" spans="2:6" ht="24.75" customHeight="1" x14ac:dyDescent="0.15">
      <c r="B23" s="71">
        <v>77700</v>
      </c>
      <c r="C23" s="72"/>
      <c r="D23" s="72"/>
      <c r="E23" s="73"/>
    </row>
    <row r="24" spans="2:6" ht="24.75" customHeight="1" thickBot="1" x14ac:dyDescent="0.2">
      <c r="B24" s="74"/>
      <c r="C24" s="75"/>
      <c r="D24" s="75"/>
      <c r="E24" s="76"/>
      <c r="F24" s="22" t="s">
        <v>73</v>
      </c>
    </row>
    <row r="25" spans="2:6" ht="24.75" customHeight="1" thickBot="1" x14ac:dyDescent="0.2">
      <c r="B25" s="22" t="s">
        <v>68</v>
      </c>
    </row>
    <row r="26" spans="2:6" ht="24.75" customHeight="1" x14ac:dyDescent="0.15">
      <c r="B26" s="65">
        <f>((B20+B23)*0.2)/(0.9-B14*1.021)+2000</f>
        <v>32508.274927852053</v>
      </c>
      <c r="C26" s="66"/>
      <c r="D26" s="66"/>
      <c r="E26" s="67"/>
      <c r="F26" s="47" t="s">
        <v>69</v>
      </c>
    </row>
    <row r="27" spans="2:6" ht="24.75" customHeight="1" thickBot="1" x14ac:dyDescent="0.2">
      <c r="B27" s="68"/>
      <c r="C27" s="69"/>
      <c r="D27" s="69"/>
      <c r="E27" s="70"/>
      <c r="F27" s="47"/>
    </row>
  </sheetData>
  <mergeCells count="10">
    <mergeCell ref="B8:E9"/>
    <mergeCell ref="B11:E12"/>
    <mergeCell ref="B17:C18"/>
    <mergeCell ref="B14:D15"/>
    <mergeCell ref="B2:E3"/>
    <mergeCell ref="B5:E6"/>
    <mergeCell ref="B26:E27"/>
    <mergeCell ref="F26:F27"/>
    <mergeCell ref="B20:E21"/>
    <mergeCell ref="B23:E2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BA007-EB78-467B-8C62-1729ABA82EAC}">
  <dimension ref="B1:H21"/>
  <sheetViews>
    <sheetView workbookViewId="0">
      <selection activeCell="B20" sqref="B20:E21"/>
    </sheetView>
  </sheetViews>
  <sheetFormatPr defaultRowHeight="13.5" x14ac:dyDescent="0.15"/>
  <cols>
    <col min="1" max="1" width="9" style="4"/>
    <col min="2" max="2" width="10.625" style="4" customWidth="1"/>
    <col min="3" max="3" width="5.375" style="4" bestFit="1" customWidth="1"/>
    <col min="4" max="4" width="3" style="4" customWidth="1"/>
    <col min="5" max="5" width="17.375" style="4" customWidth="1"/>
    <col min="6" max="6" width="4.625" style="4" customWidth="1"/>
    <col min="7" max="7" width="9" style="4"/>
    <col min="8" max="10" width="10.25" style="4" customWidth="1"/>
    <col min="11" max="16384" width="9" style="4"/>
  </cols>
  <sheetData>
    <row r="1" spans="2:8" s="22" customFormat="1" ht="26.25" customHeight="1" thickBot="1" x14ac:dyDescent="0.2">
      <c r="B1" s="22" t="s">
        <v>71</v>
      </c>
    </row>
    <row r="2" spans="2:8" s="22" customFormat="1" ht="26.25" customHeight="1" x14ac:dyDescent="0.15">
      <c r="B2" s="71">
        <v>3439562</v>
      </c>
      <c r="C2" s="72"/>
      <c r="D2" s="72"/>
      <c r="E2" s="73"/>
      <c r="H2" s="23"/>
    </row>
    <row r="3" spans="2:8" s="22" customFormat="1" ht="26.25" customHeight="1" thickBot="1" x14ac:dyDescent="0.2">
      <c r="B3" s="74"/>
      <c r="C3" s="75"/>
      <c r="D3" s="75"/>
      <c r="E3" s="76"/>
      <c r="F3" s="22" t="s">
        <v>69</v>
      </c>
    </row>
    <row r="4" spans="2:8" s="22" customFormat="1" ht="26.25" hidden="1" customHeight="1" thickBot="1" x14ac:dyDescent="0.2">
      <c r="B4" s="22" t="s">
        <v>72</v>
      </c>
    </row>
    <row r="5" spans="2:8" s="22" customFormat="1" ht="26.25" hidden="1" customHeight="1" x14ac:dyDescent="0.15">
      <c r="B5" s="24">
        <f>IF(B2&lt;550999,0,IF(B2&lt;1618999,B2-550000,IF(B2&lt;1619999,1069000,IF(B2&lt;1621999,1070000,IF(B2&lt;1623999,1072000,IF(B2&lt;1627999,1074000,IF(B2&lt;1799999,ROUNDDOWN(B2/4,-3)*2.4+100000,IF(B2&lt;3599999,ROUNDDOWN(B2/4,-3)*2.8-80000,IF(B2&lt;6599999,ROUNDDOWN(B2/4,-3)*3.2-440000,IF(B2&lt;8499999,ROUNDDOWN(B2*0.9-1100000,0),IF(B2&lt;8500000,ROUNDDOWN(B2-1950000,0),B2-1950000)))))))))))</f>
        <v>2325200</v>
      </c>
      <c r="C5" s="25">
        <f>IF(A5&lt;650999,0,IF(A5&lt;1618999,A5-650000,IF(A5&lt;1619999,969000,IF(A5&lt;1621999,970000,IF(A5&lt;1623999,972000,IF(A5&lt;1627999,974000,IF(A5&lt;1799999,ROUNDDOWN(A5/4,-3)*2.4,IF(A5&lt;3599999,ROUNDDOWN(A5/4,-3)*2.8-180000,IF(A5&lt;6599999,ROUNDDOWN(A5/4,-3)*3.2-540000,IF(A5&lt;9999999,ROUNDDOWN(A5*0.9-1200000,0),IF(A5&lt;14999999,ROUNDDOWN(A5*0.95-1700000,0),A5-2450000)))))))))))</f>
        <v>0</v>
      </c>
      <c r="D5" s="25"/>
      <c r="E5" s="26">
        <f>IF(B5&lt;650999,0,IF(B5&lt;1618999,B5-650000,IF(B5&lt;1619999,969000,IF(B5&lt;1621999,970000,IF(B5&lt;1623999,972000,IF(B5&lt;1627999,974000,IF(B5&lt;1799999,ROUNDDOWN(B5/4,-3)*2.4,IF(B5&lt;3599999,ROUNDDOWN(B5/4,-3)*2.8-180000,IF(B5&lt;6599999,ROUNDDOWN(B5/4,-3)*3.2-540000,IF(B5&lt;9999999,ROUNDDOWN(B5*0.9-1200000,0),IF(B5&lt;14999999,ROUNDDOWN(B5*0.95-1700000,0),B5-2450000)))))))))))</f>
        <v>1446800</v>
      </c>
    </row>
    <row r="6" spans="2:8" s="22" customFormat="1" ht="26.25" hidden="1" customHeight="1" thickBot="1" x14ac:dyDescent="0.2">
      <c r="B6" s="27" t="e">
        <f>IF(#REF!&lt;650999,0,IF(#REF!&lt;1618999,#REF!-650000,IF(#REF!&lt;1619999,969000,IF(#REF!&lt;1621999,970000,IF(#REF!&lt;1623999,972000,IF(#REF!&lt;1627999,974000,IF(#REF!&lt;1799999,ROUNDDOWN(#REF!/4,-3)*2.4,IF(#REF!&lt;3599999,ROUNDDOWN(#REF!/4,-3)*2.8-180000,IF(#REF!&lt;6599999,ROUNDDOWN(#REF!/4,-3)*3.2-540000,IF(#REF!&lt;9999999,ROUNDDOWN(#REF!*0.9-1200000,0),IF(#REF!&lt;14999999,ROUNDDOWN(#REF!*0.95-1700000,0),#REF!-2450000)))))))))))</f>
        <v>#REF!</v>
      </c>
      <c r="C6" s="28">
        <f>IF(A6&lt;650999,0,IF(A6&lt;1618999,A6-650000,IF(A6&lt;1619999,969000,IF(A6&lt;1621999,970000,IF(A6&lt;1623999,972000,IF(A6&lt;1627999,974000,IF(A6&lt;1799999,ROUNDDOWN(A6/4,-3)*2.4,IF(A6&lt;3599999,ROUNDDOWN(A6/4,-3)*2.8-180000,IF(A6&lt;6599999,ROUNDDOWN(A6/4,-3)*3.2-540000,IF(A6&lt;9999999,ROUNDDOWN(A6*0.9-1200000,0),IF(A6&lt;14999999,ROUNDDOWN(A6*0.95-1700000,0),A6-2450000)))))))))))</f>
        <v>0</v>
      </c>
      <c r="D6" s="28"/>
      <c r="E6" s="29" t="e">
        <f>IF(B6&lt;650999,0,IF(B6&lt;1618999,B6-650000,IF(B6&lt;1619999,969000,IF(B6&lt;1621999,970000,IF(B6&lt;1623999,972000,IF(B6&lt;1627999,974000,IF(B6&lt;1799999,ROUNDDOWN(B6/4,-3)*2.4,IF(B6&lt;3599999,ROUNDDOWN(B6/4,-3)*2.8-180000,IF(B6&lt;6599999,ROUNDDOWN(B6/4,-3)*3.2-540000,IF(B6&lt;9999999,ROUNDDOWN(B6*0.9-1200000,0),IF(B6&lt;14999999,ROUNDDOWN(B6*0.95-1700000,0),B6-2450000)))))))))))</f>
        <v>#REF!</v>
      </c>
      <c r="F6" s="22" t="s">
        <v>69</v>
      </c>
    </row>
    <row r="7" spans="2:8" s="22" customFormat="1" ht="26.25" customHeight="1" thickBot="1" x14ac:dyDescent="0.2">
      <c r="B7" s="22" t="s">
        <v>88</v>
      </c>
      <c r="H7" s="23"/>
    </row>
    <row r="8" spans="2:8" s="22" customFormat="1" ht="26.25" customHeight="1" x14ac:dyDescent="0.15">
      <c r="B8" s="71">
        <v>1103515</v>
      </c>
      <c r="C8" s="72"/>
      <c r="D8" s="72"/>
      <c r="E8" s="73"/>
    </row>
    <row r="9" spans="2:8" s="22" customFormat="1" ht="26.25" customHeight="1" thickBot="1" x14ac:dyDescent="0.2">
      <c r="B9" s="74"/>
      <c r="C9" s="75"/>
      <c r="D9" s="75"/>
      <c r="E9" s="76"/>
      <c r="F9" s="22" t="s">
        <v>69</v>
      </c>
    </row>
    <row r="10" spans="2:8" s="22" customFormat="1" ht="26.25" hidden="1" customHeight="1" thickBot="1" x14ac:dyDescent="0.25">
      <c r="B10" s="30" t="s">
        <v>93</v>
      </c>
      <c r="C10" s="31"/>
      <c r="D10" s="31"/>
      <c r="E10" s="31"/>
    </row>
    <row r="11" spans="2:8" s="22" customFormat="1" ht="26.25" hidden="1" customHeight="1" x14ac:dyDescent="0.15">
      <c r="B11" s="32">
        <f>ROUNDDOWN(B5-B8,-3)</f>
        <v>1221000</v>
      </c>
      <c r="C11" s="33"/>
      <c r="D11" s="33"/>
      <c r="E11" s="34"/>
    </row>
    <row r="12" spans="2:8" s="22" customFormat="1" ht="26.25" hidden="1" customHeight="1" thickBot="1" x14ac:dyDescent="0.2">
      <c r="B12" s="35"/>
      <c r="C12" s="36"/>
      <c r="D12" s="36"/>
      <c r="E12" s="37"/>
      <c r="F12" s="22" t="s">
        <v>69</v>
      </c>
    </row>
    <row r="13" spans="2:8" s="22" customFormat="1" ht="26.25" hidden="1" customHeight="1" thickBot="1" x14ac:dyDescent="0.25">
      <c r="B13" s="38" t="s">
        <v>91</v>
      </c>
      <c r="C13" s="31"/>
      <c r="D13" s="31"/>
    </row>
    <row r="14" spans="2:8" s="22" customFormat="1" ht="26.25" hidden="1" customHeight="1" x14ac:dyDescent="0.15">
      <c r="B14" s="39">
        <f>IF(B11&lt;1949000,0.05,IF(B11&lt;3299000,0.1,IF(B11&lt;6949000,0.2,IF(B11&lt;8999000,0.23,IF(B11&lt;17999000,0.33,IF(B11&lt;40000000,0.4,0.45))))))</f>
        <v>0.05</v>
      </c>
      <c r="C14" s="40"/>
      <c r="D14" s="41"/>
    </row>
    <row r="15" spans="2:8" s="22" customFormat="1" ht="26.25" hidden="1" customHeight="1" thickBot="1" x14ac:dyDescent="0.2">
      <c r="B15" s="42"/>
      <c r="C15" s="43"/>
      <c r="D15" s="44"/>
    </row>
    <row r="16" spans="2:8" s="22" customFormat="1" ht="26.25" hidden="1" customHeight="1" thickBot="1" x14ac:dyDescent="0.2">
      <c r="B16" s="22" t="s">
        <v>92</v>
      </c>
    </row>
    <row r="17" spans="2:6" s="22" customFormat="1" ht="26.25" hidden="1" customHeight="1" x14ac:dyDescent="0.15">
      <c r="B17" s="24">
        <f>IF($B$14=0.05,$B$11*$B$14*1.021,IF($B$14=0.1,($B$11*$B$14-97500)*1.021,IF($B$14=0.2,($B$11*$B$14-427500)*1.021,IF($B$14=0.23,($B$11*$B$14-636000)*1.021,IF($B$14=0.33,($B$11*$B$14-1536000)*1.021,IF($B$14=0.4,($B$11*$B$14-2796000)*1.021,($B$11*$B$14-4796000)*1.021))))))</f>
        <v>62332.049999999996</v>
      </c>
      <c r="C17" s="26">
        <f>IF($H$48=0.05,$H$46*$H$48*1.021,IF($H$48=0.1,($H$46*$H$48-97500)*1.021,IF($H$46=0.2,($H$46*$H$48-427500)*1.021,IF($H$48=0.23,($H$46*$H$48-636000)*1.021,IF($H$48=0.33,($H$46*$H$48-1536000)*1.021,IF($H$48=0.4,($H$46*$H$48-2796000)*1.021,($H$46*$H$48-4796000)*1.021))))))</f>
        <v>-4896716</v>
      </c>
      <c r="D17" s="45"/>
      <c r="E17" s="46"/>
    </row>
    <row r="18" spans="2:6" s="22" customFormat="1" ht="26.25" hidden="1" customHeight="1" thickBot="1" x14ac:dyDescent="0.2">
      <c r="B18" s="27">
        <f>IF($H$48=0.05,$H$46*$H$48*1.021,IF($H$48=0.1,($H$46*$H$48-97500)*1.021,IF($H$46=0.2,($H$46*$H$48-427500)*1.021,IF($H$48=0.23,($H$46*$H$48-636000)*1.021,IF($H$48=0.33,($H$46*$H$48-1536000)*1.021,IF($H$48=0.4,($H$46*$H$48-2796000)*1.021,($H$46*$H$48-4796000)*1.021))))))</f>
        <v>-4896716</v>
      </c>
      <c r="C18" s="29">
        <f>IF($H$48=0.05,$H$46*$H$48*1.021,IF($H$48=0.1,($H$46*$H$48-97500)*1.021,IF($H$46=0.2,($H$46*$H$48-427500)*1.021,IF($H$48=0.23,($H$46*$H$48-636000)*1.021,IF($H$48=0.33,($H$46*$H$48-1536000)*1.021,IF($H$48=0.4,($H$46*$H$48-2796000)*1.021,($H$46*$H$48-4796000)*1.021))))))</f>
        <v>-4896716</v>
      </c>
      <c r="D18" s="45" t="s">
        <v>69</v>
      </c>
      <c r="E18" s="46"/>
    </row>
    <row r="19" spans="2:6" s="22" customFormat="1" ht="26.25" customHeight="1" thickBot="1" x14ac:dyDescent="0.2">
      <c r="B19" s="22" t="s">
        <v>68</v>
      </c>
    </row>
    <row r="20" spans="2:6" s="22" customFormat="1" ht="26.25" customHeight="1" x14ac:dyDescent="0.15">
      <c r="B20" s="65">
        <f>(((B11*0.1)-5500)*0.2)/(0.9-B14*1.021)+2000</f>
        <v>29469.22669179575</v>
      </c>
      <c r="C20" s="66"/>
      <c r="D20" s="66"/>
      <c r="E20" s="67"/>
      <c r="F20" s="47" t="s">
        <v>69</v>
      </c>
    </row>
    <row r="21" spans="2:6" s="22" customFormat="1" ht="26.25" customHeight="1" thickBot="1" x14ac:dyDescent="0.2">
      <c r="B21" s="68"/>
      <c r="C21" s="69"/>
      <c r="D21" s="69"/>
      <c r="E21" s="70"/>
      <c r="F21" s="47"/>
    </row>
  </sheetData>
  <mergeCells count="8">
    <mergeCell ref="B17:C18"/>
    <mergeCell ref="B20:E21"/>
    <mergeCell ref="F20:F21"/>
    <mergeCell ref="B2:E3"/>
    <mergeCell ref="B5:E6"/>
    <mergeCell ref="B8:E9"/>
    <mergeCell ref="B11:E12"/>
    <mergeCell ref="B14:D1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86"/>
  <sheetViews>
    <sheetView workbookViewId="0">
      <selection activeCell="H48" sqref="H48"/>
    </sheetView>
  </sheetViews>
  <sheetFormatPr defaultRowHeight="13.5" x14ac:dyDescent="0.15"/>
  <cols>
    <col min="1" max="1" width="9" style="4"/>
    <col min="2" max="2" width="27.5" style="9" customWidth="1"/>
    <col min="3" max="3" width="9" style="8"/>
    <col min="4" max="4" width="27.5" style="9" customWidth="1"/>
    <col min="5" max="5" width="14.625" style="9" hidden="1" customWidth="1"/>
    <col min="6" max="6" width="9" style="4"/>
    <col min="7" max="7" width="21.375" style="9" customWidth="1"/>
    <col min="8" max="8" width="11.25" style="9" bestFit="1" customWidth="1"/>
    <col min="9" max="9" width="11" style="4" customWidth="1"/>
    <col min="10" max="13" width="9" style="4"/>
    <col min="14" max="14" width="9.125" style="4" bestFit="1" customWidth="1"/>
    <col min="15" max="16384" width="9" style="4"/>
  </cols>
  <sheetData>
    <row r="1" spans="2:7" x14ac:dyDescent="0.15">
      <c r="B1" s="7" t="s">
        <v>8</v>
      </c>
      <c r="E1" s="7" t="s">
        <v>54</v>
      </c>
    </row>
    <row r="2" spans="2:7" x14ac:dyDescent="0.15">
      <c r="B2" s="9" t="s">
        <v>0</v>
      </c>
      <c r="D2" s="9" t="s">
        <v>2</v>
      </c>
    </row>
    <row r="3" spans="2:7" x14ac:dyDescent="0.15">
      <c r="B3" s="10">
        <v>3439562</v>
      </c>
      <c r="C3" s="8" t="s">
        <v>1</v>
      </c>
      <c r="D3" s="11">
        <f>IF(B3&lt;550999,0,IF(B3&lt;1618999,B3-550000,IF(B3&lt;1619999,1069000,IF(B3&lt;1621999,1070000,IF(B3&lt;1623999,1072000,IF(B3&lt;1627999,1074000,IF(B3&lt;1799999,ROUNDDOWN(B3/4,-3)*2.4+100000,IF(B3&lt;3599999,ROUNDDOWN(B3/4,-3)*2.8-80000,IF(B3&lt;6599999,ROUNDDOWN(B3/4,-3)*3.2-440000,IF(B3&lt;8499999,ROUNDDOWN(B3*0.9-1100000,0),IF(B3&lt;8500000,ROUNDDOWN(B3-1950000,0),B3-1950000)))))))))))</f>
        <v>2325200</v>
      </c>
      <c r="E3" s="12"/>
      <c r="F3" s="13" t="s">
        <v>6</v>
      </c>
    </row>
    <row r="4" spans="2:7" x14ac:dyDescent="0.15">
      <c r="B4" s="9" t="s">
        <v>78</v>
      </c>
      <c r="D4" s="12"/>
      <c r="E4" s="12"/>
      <c r="F4" s="13"/>
    </row>
    <row r="5" spans="2:7" x14ac:dyDescent="0.15">
      <c r="B5" s="10"/>
      <c r="D5" s="12"/>
      <c r="E5" s="12"/>
      <c r="F5" s="13"/>
    </row>
    <row r="6" spans="2:7" x14ac:dyDescent="0.15">
      <c r="B6" s="9" t="s">
        <v>4</v>
      </c>
      <c r="D6" s="9" t="s">
        <v>3</v>
      </c>
      <c r="F6" s="13"/>
    </row>
    <row r="7" spans="2:7" ht="14.25" thickBot="1" x14ac:dyDescent="0.2">
      <c r="B7" s="10"/>
      <c r="C7" s="8" t="s">
        <v>1</v>
      </c>
      <c r="D7" s="11">
        <f>IF(B7&lt;600001,0,IF(B7&lt;1300000,B7-600000,IF(B7&lt;4100000,ROUNDDOWN(B7*0.75-275000,0),IF(B57700000,ROUNDDOWN(B7*0.85-685000,0),ROUNDDOWN(B7*0.95-1455000,0)))))</f>
        <v>0</v>
      </c>
      <c r="E7" s="12"/>
      <c r="F7" s="13"/>
      <c r="G7" s="7" t="s">
        <v>7</v>
      </c>
    </row>
    <row r="8" spans="2:7" ht="14.25" thickBot="1" x14ac:dyDescent="0.2">
      <c r="B8" s="21" t="s">
        <v>90</v>
      </c>
      <c r="F8" s="13"/>
      <c r="G8" s="14">
        <f>(D3+D7+D9+D11)-B5</f>
        <v>2325200</v>
      </c>
    </row>
    <row r="9" spans="2:7" x14ac:dyDescent="0.15">
      <c r="B9" s="10"/>
      <c r="C9" s="8" t="s">
        <v>1</v>
      </c>
      <c r="D9" s="11">
        <f>IF(B9&lt;1100001,0,IF(B9&lt;3300000,B9-1100000,IF(B9&lt;4100000,ROUNDDOWN(B9*0.75-275000,0),IF(B9&lt;7700000,ROUNDDOWN(B9*0.85-685000,0),ROUNDDOWN(B9*0.95-1455000,0)))))</f>
        <v>0</v>
      </c>
      <c r="E9" s="12"/>
      <c r="F9" s="13"/>
    </row>
    <row r="10" spans="2:7" x14ac:dyDescent="0.15">
      <c r="D10" s="9" t="s">
        <v>5</v>
      </c>
      <c r="F10" s="13"/>
    </row>
    <row r="11" spans="2:7" x14ac:dyDescent="0.15">
      <c r="D11" s="10"/>
      <c r="E11" s="12"/>
      <c r="F11" s="13"/>
    </row>
    <row r="12" spans="2:7" x14ac:dyDescent="0.15">
      <c r="B12" s="7" t="s">
        <v>9</v>
      </c>
    </row>
    <row r="13" spans="2:7" x14ac:dyDescent="0.15">
      <c r="D13" s="9" t="s">
        <v>10</v>
      </c>
    </row>
    <row r="14" spans="2:7" x14ac:dyDescent="0.15">
      <c r="B14" s="12"/>
      <c r="D14" s="10">
        <v>430000</v>
      </c>
      <c r="E14" s="11">
        <v>50000</v>
      </c>
    </row>
    <row r="15" spans="2:7" x14ac:dyDescent="0.15">
      <c r="B15" s="9" t="s">
        <v>11</v>
      </c>
      <c r="D15" s="9" t="s">
        <v>12</v>
      </c>
    </row>
    <row r="16" spans="2:7" x14ac:dyDescent="0.15">
      <c r="B16" s="10">
        <v>503515</v>
      </c>
      <c r="C16" s="8" t="s">
        <v>6</v>
      </c>
      <c r="D16" s="11">
        <f>B16+B18</f>
        <v>503515</v>
      </c>
      <c r="E16" s="12"/>
    </row>
    <row r="17" spans="2:8" x14ac:dyDescent="0.15">
      <c r="B17" s="9" t="s">
        <v>74</v>
      </c>
    </row>
    <row r="18" spans="2:8" x14ac:dyDescent="0.15">
      <c r="B18" s="10"/>
    </row>
    <row r="19" spans="2:8" x14ac:dyDescent="0.15">
      <c r="B19" s="9" t="s">
        <v>13</v>
      </c>
      <c r="D19" s="9" t="s">
        <v>16</v>
      </c>
    </row>
    <row r="20" spans="2:8" x14ac:dyDescent="0.15">
      <c r="B20" s="10"/>
      <c r="C20" s="8" t="s">
        <v>15</v>
      </c>
      <c r="D20" s="11">
        <f>IF(G8*0.05&lt;100000,IF(B20-B22-G8*0.05&lt;0,0,B20-B22-G8*0.05),IF(B20-B22-100000&lt;0,0,B20-B22-100000))</f>
        <v>0</v>
      </c>
      <c r="E20" s="12"/>
    </row>
    <row r="21" spans="2:8" x14ac:dyDescent="0.15">
      <c r="B21" s="9" t="s">
        <v>14</v>
      </c>
      <c r="E21" s="9" t="s">
        <v>64</v>
      </c>
    </row>
    <row r="22" spans="2:8" x14ac:dyDescent="0.15">
      <c r="B22" s="10"/>
      <c r="D22" s="4"/>
      <c r="E22" s="11">
        <f>IF(D24&lt;50000,D24,50000)</f>
        <v>0</v>
      </c>
    </row>
    <row r="23" spans="2:8" x14ac:dyDescent="0.15">
      <c r="B23" s="15"/>
      <c r="D23" s="9" t="s">
        <v>20</v>
      </c>
      <c r="E23" s="12"/>
    </row>
    <row r="24" spans="2:8" x14ac:dyDescent="0.15">
      <c r="B24" s="15"/>
      <c r="D24" s="11">
        <f>IF(B26/2&gt;25000,25000,B26/2)</f>
        <v>0</v>
      </c>
      <c r="E24" s="12"/>
    </row>
    <row r="25" spans="2:8" x14ac:dyDescent="0.15">
      <c r="B25" s="9" t="s">
        <v>17</v>
      </c>
      <c r="D25" s="9" t="s">
        <v>19</v>
      </c>
    </row>
    <row r="26" spans="2:8" x14ac:dyDescent="0.15">
      <c r="B26" s="10"/>
      <c r="C26" s="8" t="s">
        <v>6</v>
      </c>
      <c r="D26" s="11">
        <f>IF(B28&lt;=5000,B28,IF(B28&lt;10000,B28/2+2500,10000))</f>
        <v>0</v>
      </c>
      <c r="E26" s="11">
        <f>IF(B28&lt;10000,B28,IF(B28*0.5+5000&lt;15000,B28*0.5+5000,15000))</f>
        <v>0</v>
      </c>
    </row>
    <row r="27" spans="2:8" x14ac:dyDescent="0.15">
      <c r="B27" s="9" t="s">
        <v>18</v>
      </c>
      <c r="D27" s="9" t="s">
        <v>21</v>
      </c>
    </row>
    <row r="28" spans="2:8" x14ac:dyDescent="0.15">
      <c r="B28" s="10"/>
      <c r="D28" s="11">
        <f>IF(D24+D26&lt;25000,D24+D26,25000)</f>
        <v>0</v>
      </c>
      <c r="E28" s="11">
        <f>IF(E22+E26&lt;50000,E22+E26,50000)</f>
        <v>0</v>
      </c>
    </row>
    <row r="29" spans="2:8" x14ac:dyDescent="0.15">
      <c r="B29" s="9" t="s">
        <v>94</v>
      </c>
      <c r="E29" s="9" t="s">
        <v>64</v>
      </c>
      <c r="G29" s="9" t="s">
        <v>23</v>
      </c>
      <c r="H29" s="9" t="s">
        <v>65</v>
      </c>
    </row>
    <row r="30" spans="2:8" x14ac:dyDescent="0.15">
      <c r="B30" s="10"/>
      <c r="D30" s="11">
        <f>IF(B30&lt;15000,B30,IF(B30&lt;40000,ROUNDUP(B30/2+7500,0),IF(B30&lt;70000,ROUNDUP(B30/4+17500,0),35000)))</f>
        <v>0</v>
      </c>
      <c r="E30" s="11">
        <f>IF(B30&lt;25000,B30,IF(B30&lt;50000,ROUNDUP(B30*0.5+12500,0),IF(B30&lt;100000,ROUNDUP(B30*0.25+25000,0),50000)))</f>
        <v>0</v>
      </c>
      <c r="G30" s="11">
        <f>IF(28000&lt;D30,D30,IF(D30+D32&lt;28000,D30+D32,28000))</f>
        <v>28000</v>
      </c>
      <c r="H30" s="11">
        <f>IF(E30&gt;40000,E30,IF(E30+E32&lt;40000,E30+E32,40000))</f>
        <v>40000</v>
      </c>
    </row>
    <row r="31" spans="2:8" x14ac:dyDescent="0.15">
      <c r="B31" s="9" t="s">
        <v>95</v>
      </c>
      <c r="G31" s="9" t="s">
        <v>24</v>
      </c>
    </row>
    <row r="32" spans="2:8" x14ac:dyDescent="0.15">
      <c r="B32" s="10">
        <v>83992</v>
      </c>
      <c r="D32" s="11">
        <f>IF(B32&lt;12000,B32,IF(B32&lt;32000,ROUNDUP(B32/2+6000,0),IF(B32&lt;56000,ROUNDUP(B32/4+14000,0),28000)))</f>
        <v>28000</v>
      </c>
      <c r="E32" s="11">
        <f>IF(B32&lt;20000,B32,IF(B32&lt;40000,ROUNDUP(B32*0.5+10000,0),IF(B32&lt;80000,ROUNDUP(B32*0.25+20000,0),40000)))</f>
        <v>40000</v>
      </c>
      <c r="G32" s="11">
        <f>IF(28000&lt;D34,D34,IF(D34+D36&lt;28000,D34+D36,28000))</f>
        <v>28000</v>
      </c>
      <c r="H32" s="11">
        <f>IF(E34&gt;40000,E34,IF(E34+E36&lt;40000,E34+E36,40000))</f>
        <v>40000</v>
      </c>
    </row>
    <row r="33" spans="2:8" x14ac:dyDescent="0.15">
      <c r="B33" s="9" t="s">
        <v>96</v>
      </c>
      <c r="G33" s="9" t="s">
        <v>25</v>
      </c>
    </row>
    <row r="34" spans="2:8" x14ac:dyDescent="0.15">
      <c r="B34" s="10"/>
      <c r="C34" s="8" t="s">
        <v>22</v>
      </c>
      <c r="D34" s="11">
        <f>IF(B34&lt;15000,B34,IF(B34&lt;40000,ROUNDUP(B34/2+7500,0),IF(B34&lt;70000,ROUNDUP(B34/4+17500,0),35000)))</f>
        <v>0</v>
      </c>
      <c r="E34" s="11">
        <f>IF(B34&lt;25000,B34,IF(B34&lt;50000,ROUNDUP(B34*0.5+12500,0),IF(B34&lt;100000,ROUNDUP(B34*0.25+25000,0),50000)))</f>
        <v>0</v>
      </c>
      <c r="G34" s="11">
        <f>D38</f>
        <v>28000</v>
      </c>
      <c r="H34" s="11">
        <f>E38</f>
        <v>40000</v>
      </c>
    </row>
    <row r="35" spans="2:8" x14ac:dyDescent="0.15">
      <c r="B35" s="9" t="s">
        <v>97</v>
      </c>
      <c r="G35" s="9" t="s">
        <v>26</v>
      </c>
    </row>
    <row r="36" spans="2:8" x14ac:dyDescent="0.15">
      <c r="B36" s="10">
        <v>133200</v>
      </c>
      <c r="D36" s="11">
        <f>IF(B36&lt;12000,B36,IF(B36&lt;32000,ROUNDUP(B36/2+6000,0),IF(B36&lt;56000,ROUNDUP(B36/4+14000,0),28000)))</f>
        <v>28000</v>
      </c>
      <c r="E36" s="11">
        <f>IF(B36&lt;20000,B36,IF(B36&lt;40000,ROUNDUP(B36*0.5+10000,0),IF(B36&lt;80000,ROUNDUP(B36*0.25+20000,0),40000)))</f>
        <v>40000</v>
      </c>
      <c r="G36" s="11">
        <f>IF(G30+G32+G34&lt;70000,G30+G32+G34,70000)</f>
        <v>70000</v>
      </c>
      <c r="H36" s="11">
        <f>IF(H30+H32+H34&lt;120000,H30+H32+H34,120000)</f>
        <v>120000</v>
      </c>
    </row>
    <row r="37" spans="2:8" x14ac:dyDescent="0.15">
      <c r="B37" s="9" t="s">
        <v>98</v>
      </c>
    </row>
    <row r="38" spans="2:8" x14ac:dyDescent="0.15">
      <c r="B38" s="10">
        <v>80255</v>
      </c>
      <c r="D38" s="11">
        <f>IF(B38&lt;12000,B38,IF(B38&lt;32000,ROUNDUP(B38/2+6000,0),IF(B38&lt;56000,ROUNDUP(B38/4+14000,0),28000)))</f>
        <v>28000</v>
      </c>
      <c r="E38" s="11">
        <f>IF(B38&lt;20000,B38,IF(B38&lt;40000,ROUNDUP(B38*0.5+10000,0),IF(B38&lt;80000,ROUNDUP(B38*0.25+20000,0),40000)))</f>
        <v>40000</v>
      </c>
    </row>
    <row r="39" spans="2:8" x14ac:dyDescent="0.15">
      <c r="B39" s="9" t="s">
        <v>77</v>
      </c>
      <c r="D39" s="9" t="s">
        <v>27</v>
      </c>
    </row>
    <row r="40" spans="2:8" x14ac:dyDescent="0.15">
      <c r="B40" s="10"/>
      <c r="C40" s="8" t="s">
        <v>1</v>
      </c>
      <c r="D40" s="11">
        <f>IF(B40=1,260000,0)</f>
        <v>0</v>
      </c>
      <c r="E40" s="11">
        <f>IF(B40=1,10000,IF(B40=2,50000,0))</f>
        <v>0</v>
      </c>
    </row>
    <row r="41" spans="2:8" x14ac:dyDescent="0.15">
      <c r="B41" s="9" t="s">
        <v>76</v>
      </c>
      <c r="D41" s="9" t="s">
        <v>28</v>
      </c>
    </row>
    <row r="42" spans="2:8" x14ac:dyDescent="0.15">
      <c r="B42" s="10"/>
      <c r="C42" s="8" t="s">
        <v>1</v>
      </c>
      <c r="D42" s="11">
        <f>IF(B42=1,300000,0)</f>
        <v>0</v>
      </c>
      <c r="E42" s="11">
        <f>IF(B42=1,50000,0)</f>
        <v>0</v>
      </c>
    </row>
    <row r="43" spans="2:8" x14ac:dyDescent="0.15">
      <c r="B43" s="9" t="s">
        <v>34</v>
      </c>
      <c r="D43" s="9" t="s">
        <v>46</v>
      </c>
    </row>
    <row r="44" spans="2:8" x14ac:dyDescent="0.15">
      <c r="B44" s="10"/>
      <c r="C44" s="8" t="s">
        <v>1</v>
      </c>
      <c r="D44" s="11">
        <f>IF(B44=1,260000,IF(B44=2,300000,0))</f>
        <v>0</v>
      </c>
      <c r="E44" s="11">
        <f>IF(B44=1,10000,IF(B44=2,100000,0))</f>
        <v>0</v>
      </c>
    </row>
    <row r="45" spans="2:8" x14ac:dyDescent="0.15">
      <c r="B45" s="9" t="s">
        <v>29</v>
      </c>
      <c r="D45" s="9" t="s">
        <v>30</v>
      </c>
    </row>
    <row r="46" spans="2:8" x14ac:dyDescent="0.15">
      <c r="B46" s="10"/>
      <c r="C46" s="8" t="s">
        <v>1</v>
      </c>
      <c r="D46" s="11">
        <f>IF(B46=1,260000,0)</f>
        <v>0</v>
      </c>
      <c r="E46" s="11">
        <f>IF(B46=1,10000,0)</f>
        <v>0</v>
      </c>
    </row>
    <row r="47" spans="2:8" x14ac:dyDescent="0.15">
      <c r="B47" s="9" t="s">
        <v>31</v>
      </c>
      <c r="D47" s="9" t="s">
        <v>32</v>
      </c>
    </row>
    <row r="48" spans="2:8" x14ac:dyDescent="0.15">
      <c r="B48" s="10"/>
      <c r="D48" s="11">
        <f>IF(B48=1,330000,IF(B48=2,380000,0))</f>
        <v>0</v>
      </c>
      <c r="E48" s="11">
        <f>IF(B48=1,50000,IF(B48=2,100000,0))</f>
        <v>0</v>
      </c>
    </row>
    <row r="49" spans="2:8" x14ac:dyDescent="0.15">
      <c r="B49" s="9" t="s">
        <v>55</v>
      </c>
      <c r="D49" s="9" t="s">
        <v>33</v>
      </c>
    </row>
    <row r="50" spans="2:8" x14ac:dyDescent="0.15">
      <c r="B50" s="10"/>
      <c r="D50" s="11">
        <f>IF(B50=0,0,IF(B50&lt;950000,330000,IF(B50&lt;1000001,330000,IF(B50&lt;1050001,310000,IF(B50&lt;1100001,260000,IF(B50&lt;1150001,210000,IF(B50&lt;1200001,160000,IF(B50&lt;1250001,110000,IF(B50&lt;1300001,60000,IF(B50&lt;1330001,30000,0))))))))))</f>
        <v>0</v>
      </c>
      <c r="E50" s="11">
        <f>IF(B50=0,0,IF(B50&lt;1000000,50000,IF(1000001&lt;B50&lt;1300000,30000,0)))</f>
        <v>0</v>
      </c>
      <c r="G50" s="12"/>
    </row>
    <row r="51" spans="2:8" x14ac:dyDescent="0.15">
      <c r="B51" s="9" t="s">
        <v>37</v>
      </c>
    </row>
    <row r="52" spans="2:8" x14ac:dyDescent="0.15">
      <c r="B52" s="10"/>
      <c r="C52" s="16" t="s">
        <v>35</v>
      </c>
      <c r="E52" s="11">
        <f>B52*50000</f>
        <v>0</v>
      </c>
    </row>
    <row r="53" spans="2:8" x14ac:dyDescent="0.15">
      <c r="B53" s="9" t="s">
        <v>36</v>
      </c>
      <c r="D53" s="9" t="s">
        <v>44</v>
      </c>
    </row>
    <row r="54" spans="2:8" x14ac:dyDescent="0.15">
      <c r="B54" s="10"/>
      <c r="C54" s="16" t="s">
        <v>35</v>
      </c>
      <c r="D54" s="11">
        <f>B52*330000+B54*450000+B56*380000+B58*70000</f>
        <v>0</v>
      </c>
      <c r="E54" s="11">
        <f>B54*180000</f>
        <v>0</v>
      </c>
    </row>
    <row r="55" spans="2:8" x14ac:dyDescent="0.15">
      <c r="B55" s="9" t="s">
        <v>38</v>
      </c>
      <c r="D55" s="9" t="s">
        <v>45</v>
      </c>
    </row>
    <row r="56" spans="2:8" x14ac:dyDescent="0.15">
      <c r="B56" s="10"/>
      <c r="C56" s="16" t="s">
        <v>35</v>
      </c>
      <c r="D56" s="11">
        <f>B62*260000+B64*300000+B66*230000</f>
        <v>0</v>
      </c>
      <c r="E56" s="11">
        <f>B56*100000</f>
        <v>0</v>
      </c>
    </row>
    <row r="57" spans="2:8" x14ac:dyDescent="0.15">
      <c r="B57" s="9" t="s">
        <v>39</v>
      </c>
      <c r="D57" s="9" t="s">
        <v>47</v>
      </c>
    </row>
    <row r="58" spans="2:8" x14ac:dyDescent="0.15">
      <c r="B58" s="10"/>
      <c r="C58" s="16" t="s">
        <v>35</v>
      </c>
      <c r="D58" s="11">
        <f>B52+B54+B56+B60+IF(B48=0,0,1)</f>
        <v>0</v>
      </c>
      <c r="E58" s="11">
        <f>B58*30000</f>
        <v>0</v>
      </c>
      <c r="F58" s="4" t="s">
        <v>35</v>
      </c>
    </row>
    <row r="59" spans="2:8" x14ac:dyDescent="0.15">
      <c r="B59" s="9" t="s">
        <v>40</v>
      </c>
      <c r="H59" s="9" t="s">
        <v>56</v>
      </c>
    </row>
    <row r="60" spans="2:8" x14ac:dyDescent="0.15">
      <c r="B60" s="10"/>
      <c r="C60" s="16" t="s">
        <v>35</v>
      </c>
      <c r="H60" s="11">
        <f>E14+E40+E42+E44+E46+E48+E50+E52+E54+E56+E58+E62+E64+E66</f>
        <v>50000</v>
      </c>
    </row>
    <row r="61" spans="2:8" x14ac:dyDescent="0.15">
      <c r="B61" s="9" t="s">
        <v>41</v>
      </c>
      <c r="H61" s="9" t="s">
        <v>66</v>
      </c>
    </row>
    <row r="62" spans="2:8" x14ac:dyDescent="0.15">
      <c r="B62" s="10"/>
      <c r="C62" s="16" t="s">
        <v>35</v>
      </c>
      <c r="E62" s="11">
        <f>B62*10000</f>
        <v>0</v>
      </c>
      <c r="H62" s="11">
        <f>H36-G36+E28-D28</f>
        <v>50000</v>
      </c>
    </row>
    <row r="63" spans="2:8" x14ac:dyDescent="0.15">
      <c r="B63" s="9" t="s">
        <v>42</v>
      </c>
      <c r="G63" s="7" t="s">
        <v>7</v>
      </c>
    </row>
    <row r="64" spans="2:8" x14ac:dyDescent="0.15">
      <c r="B64" s="10"/>
      <c r="C64" s="16" t="s">
        <v>35</v>
      </c>
      <c r="E64" s="11">
        <f>B64*100000</f>
        <v>0</v>
      </c>
      <c r="G64" s="11">
        <f>G8</f>
        <v>2325200</v>
      </c>
    </row>
    <row r="65" spans="2:14" x14ac:dyDescent="0.15">
      <c r="B65" s="9" t="s">
        <v>43</v>
      </c>
      <c r="G65" s="7" t="s">
        <v>48</v>
      </c>
      <c r="H65" s="9" t="s">
        <v>65</v>
      </c>
    </row>
    <row r="66" spans="2:14" x14ac:dyDescent="0.15">
      <c r="B66" s="10"/>
      <c r="C66" s="16" t="s">
        <v>35</v>
      </c>
      <c r="E66" s="11">
        <f>B66*220000</f>
        <v>0</v>
      </c>
      <c r="G66" s="11">
        <f>D14+D16+D20+D28+G36+D40+D42+D44+D46+D48+D50+D54+D56</f>
        <v>1003515</v>
      </c>
      <c r="H66" s="11">
        <f>G66+H60+H62</f>
        <v>1103515</v>
      </c>
    </row>
    <row r="67" spans="2:14" x14ac:dyDescent="0.15">
      <c r="B67" s="9" t="s">
        <v>75</v>
      </c>
      <c r="G67" s="7" t="s">
        <v>57</v>
      </c>
    </row>
    <row r="68" spans="2:14" x14ac:dyDescent="0.15">
      <c r="B68" s="10"/>
      <c r="G68" s="11">
        <f>IF(G64-G66&lt;0,0,ROUNDDOWN(G8-G66,-3))</f>
        <v>1321000</v>
      </c>
      <c r="H68" s="11">
        <f>IF(G64-H66&lt;0,0,ROUNDDOWN(G64-H66,-3))</f>
        <v>1221000</v>
      </c>
    </row>
    <row r="69" spans="2:14" x14ac:dyDescent="0.15">
      <c r="G69" s="7" t="s">
        <v>49</v>
      </c>
      <c r="H69" s="9" t="s">
        <v>67</v>
      </c>
    </row>
    <row r="70" spans="2:14" x14ac:dyDescent="0.15">
      <c r="G70" s="11">
        <f>(D58+1)*280000+IF(D58&gt;0,268000,0)</f>
        <v>280000</v>
      </c>
      <c r="H70" s="18">
        <f>IF(H68&lt;1949000,0.05,IF(H68&lt;3299000,0.1,IF(H68&lt;6949000,0.2,IF(H68&lt;8999000,0.23,IF(H68&lt;17999000,0.33,IF(H68&lt;40000000,0.4,0.45))))))</f>
        <v>0.05</v>
      </c>
    </row>
    <row r="71" spans="2:14" x14ac:dyDescent="0.15">
      <c r="G71" s="7" t="s">
        <v>50</v>
      </c>
      <c r="H71" s="9" t="s">
        <v>70</v>
      </c>
    </row>
    <row r="72" spans="2:14" x14ac:dyDescent="0.15">
      <c r="G72" s="11">
        <f>(D58+1)*350000+IF(D58&gt;0,420000,0)</f>
        <v>350000</v>
      </c>
      <c r="H72" s="11">
        <f>ROUNDDOWN((IF($H$70=0.05,$H$68*$H$70*1.021,IF($H$70=0.1,($H$68*$H$70-97500)*1.021,IF($H$70=0.2,($H$68*$H$70-427500)*1.021,IF($H$70=0.23,($H$68*$H$70-636000)*1.021,IF($H$70=0.33,($H$68*$H$70-1536000)*1.021,IF($H$70=0.4,($H$68*$H$70-2796000)*1.021,($H$68*$H$70-4796000)*1.021))))))),0)</f>
        <v>62332</v>
      </c>
    </row>
    <row r="73" spans="2:14" x14ac:dyDescent="0.15">
      <c r="G73" s="7" t="s">
        <v>51</v>
      </c>
      <c r="H73" s="4"/>
    </row>
    <row r="74" spans="2:14" x14ac:dyDescent="0.15">
      <c r="G74" s="11">
        <f>IF(COUNT(B40,B42,B44,B68)&gt;0,1250000,0)</f>
        <v>0</v>
      </c>
      <c r="H74" s="4"/>
    </row>
    <row r="75" spans="2:14" x14ac:dyDescent="0.15">
      <c r="G75" s="7" t="s">
        <v>52</v>
      </c>
      <c r="H75" s="9" t="s">
        <v>62</v>
      </c>
      <c r="I75" s="4" t="s">
        <v>63</v>
      </c>
    </row>
    <row r="76" spans="2:14" x14ac:dyDescent="0.15">
      <c r="G76" s="11">
        <f>IF(AND(G64&gt;G72,G64&gt;G74),G68*0.1,0)</f>
        <v>132100</v>
      </c>
      <c r="H76" s="11">
        <f>G76*0.4</f>
        <v>52840</v>
      </c>
      <c r="I76" s="11">
        <f>G76*0.6</f>
        <v>79260</v>
      </c>
    </row>
    <row r="77" spans="2:14" x14ac:dyDescent="0.15">
      <c r="G77" s="7" t="s">
        <v>53</v>
      </c>
    </row>
    <row r="78" spans="2:14" x14ac:dyDescent="0.15">
      <c r="G78" s="11">
        <f>IF(G68&gt;2000000,IF(H60-G68-2000000&lt;50000,50000*0.05,(H60-G68-2000000)*0.05),IF(H60&lt;G68,H60*0.05,G68*0.05))</f>
        <v>2500</v>
      </c>
      <c r="H78" s="11">
        <f>G78*0.4</f>
        <v>1000</v>
      </c>
      <c r="I78" s="11">
        <f>G78*0.6</f>
        <v>1500</v>
      </c>
    </row>
    <row r="79" spans="2:14" x14ac:dyDescent="0.15">
      <c r="G79" s="7" t="s">
        <v>58</v>
      </c>
      <c r="N79" s="11">
        <f>IF(M69&gt;2000000,IF(O61-M69-2000000&lt;50000,50000*0.05,(M69-2000000-O61)*0.05),IF(O61&lt;M69,O61*0.05,M69*0.05))</f>
        <v>0</v>
      </c>
    </row>
    <row r="80" spans="2:14" x14ac:dyDescent="0.15">
      <c r="G80" s="11"/>
    </row>
    <row r="81" spans="7:9" ht="14.25" thickBot="1" x14ac:dyDescent="0.2">
      <c r="G81" s="7" t="s">
        <v>60</v>
      </c>
    </row>
    <row r="82" spans="7:9" ht="14.25" thickBot="1" x14ac:dyDescent="0.2">
      <c r="G82" s="19">
        <f>IF(OR(G64&lt;G70,G64&lt;G74),0,5500)</f>
        <v>5500</v>
      </c>
    </row>
    <row r="83" spans="7:9" ht="14.25" thickBot="1" x14ac:dyDescent="0.2">
      <c r="G83" s="7" t="s">
        <v>59</v>
      </c>
    </row>
    <row r="84" spans="7:9" ht="14.25" thickBot="1" x14ac:dyDescent="0.2">
      <c r="G84" s="19">
        <f>H84+I84</f>
        <v>129500</v>
      </c>
      <c r="H84" s="20">
        <f>IF(H76-H78&lt;0,0,ROUNDDOWN(H76-H78,-2))</f>
        <v>51800</v>
      </c>
      <c r="I84" s="17">
        <f>IF(I76-I78&lt;0,0,ROUNDDOWN(I76-I78,-2))</f>
        <v>77700</v>
      </c>
    </row>
    <row r="85" spans="7:9" ht="14.25" thickBot="1" x14ac:dyDescent="0.2">
      <c r="G85" s="7" t="s">
        <v>61</v>
      </c>
    </row>
    <row r="86" spans="7:9" ht="14.25" thickBot="1" x14ac:dyDescent="0.2">
      <c r="G86" s="19">
        <f>G82+G84</f>
        <v>135000</v>
      </c>
    </row>
  </sheetData>
  <mergeCells count="1">
    <mergeCell ref="F3:F1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
  <sheetViews>
    <sheetView workbookViewId="0">
      <selection activeCell="D24" sqref="D24"/>
    </sheetView>
  </sheetViews>
  <sheetFormatPr defaultRowHeight="13.5" x14ac:dyDescent="0.15"/>
  <cols>
    <col min="1" max="1" width="9" style="4"/>
    <col min="2" max="2" width="10.75" style="4" customWidth="1"/>
    <col min="3" max="3" width="5.375" style="4" bestFit="1" customWidth="1"/>
    <col min="4" max="4" width="19.25" style="4" customWidth="1"/>
    <col min="5" max="5" width="4.625" style="4" customWidth="1"/>
    <col min="6" max="6" width="9" style="4"/>
    <col min="7" max="8" width="10.25" style="4" customWidth="1"/>
    <col min="9" max="9" width="11.875" style="4" customWidth="1"/>
    <col min="10" max="16384" width="9" style="4"/>
  </cols>
  <sheetData>
    <row r="1" spans="2:8" ht="23.25" customHeight="1" thickBot="1" x14ac:dyDescent="0.2">
      <c r="B1" s="22" t="s">
        <v>68</v>
      </c>
    </row>
    <row r="2" spans="2:8" ht="23.25" customHeight="1" x14ac:dyDescent="0.25">
      <c r="B2" s="59">
        <f>ROUNDDOWN((((④!$H$84+④!$I$84)*0.2)/(0.9-④!$H$70*1.021)+2000),0)</f>
        <v>32508</v>
      </c>
      <c r="C2" s="60"/>
      <c r="D2" s="61"/>
      <c r="E2" s="5" t="s">
        <v>69</v>
      </c>
      <c r="F2" s="6"/>
      <c r="G2" s="6"/>
      <c r="H2" s="6"/>
    </row>
    <row r="3" spans="2:8" ht="23.25" customHeight="1" thickBot="1" x14ac:dyDescent="0.3">
      <c r="B3" s="62"/>
      <c r="C3" s="63"/>
      <c r="D3" s="64"/>
      <c r="E3" s="5"/>
      <c r="F3" s="6"/>
      <c r="G3" s="6"/>
      <c r="H3" s="6"/>
    </row>
  </sheetData>
  <mergeCells count="2">
    <mergeCell ref="B2:D3"/>
    <mergeCell ref="E2:E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最初に</vt:lpstr>
      <vt:lpstr>①</vt:lpstr>
      <vt:lpstr>Sheet4</vt:lpstr>
      <vt:lpstr>②</vt:lpstr>
      <vt:lpstr>③</vt:lpstr>
      <vt:lpstr>④</vt:lpstr>
      <vt:lpstr>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青水 孝治</dc:creator>
  <cp:lastModifiedBy>Administrator</cp:lastModifiedBy>
  <cp:lastPrinted>2016-11-11T02:24:10Z</cp:lastPrinted>
  <dcterms:created xsi:type="dcterms:W3CDTF">2014-06-05T06:42:34Z</dcterms:created>
  <dcterms:modified xsi:type="dcterms:W3CDTF">2023-02-28T08:19:27Z</dcterms:modified>
</cp:coreProperties>
</file>